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<sst xmlns="http://schemas.openxmlformats.org/spreadsheetml/2006/main" count="3694" uniqueCount="2995">
  <si>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</si>
  <si>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</si>
  <si>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</si>
  <si>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</si>
  <si>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</si>
  <si>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</si>
  <si>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</si>
  <si>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</si>
  <si>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</si>
  <si>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</si>
  <si>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</si>
  <si>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</si>
  <si>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</si>
  <si>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</si>
  <si>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</si>
  <si>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</si>
  <si>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</si>
  <si>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</si>
  <si>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</si>
  <si>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</si>
  <si>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</si>
  <si>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</si>
  <si>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</si>
  <si>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</si>
  <si>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</si>
  <si>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</si>
  <si>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</si>
  <si>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</si>
  <si>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</si>
  <si>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</si>
  <si>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</si>
  <si>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</si>
  <si>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</si>
  <si>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</si>
  <si>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</si>
  <si>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</si>
  <si>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</si>
  <si>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</si>
  <si>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</si>
  <si>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</si>
  <si>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</si>
  <si>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</si>
  <si>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</si>
  <si>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</si>
  <si>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</si>
  <si>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</si>
  <si>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</si>
  <si>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</si>
  <si>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</si>
  <si>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</si>
  <si>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</si>
  <si>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</si>
  <si>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</si>
  <si>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</si>
  <si>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</si>
  <si>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</si>
  <si>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</si>
  <si>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</si>
  <si>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</si>
  <si>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</si>
  <si>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</si>
  <si>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</si>
  <si>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</si>
  <si>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</si>
  <si>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</si>
  <si>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</si>
  <si>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</si>
  <si>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</si>
  <si>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</si>
  <si>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</si>
  <si>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</si>
  <si>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</si>
  <si>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</si>
  <si>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</si>
  <si>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</si>
  <si>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</si>
  <si>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</si>
  <si>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</si>
  <si>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</si>
  <si>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</si>
  <si>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</si>
  <si>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</si>
  <si>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</si>
  <si>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</si>
  <si>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</si>
  <si>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</si>
  <si>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</si>
  <si>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</si>
  <si>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</si>
  <si>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</si>
  <si>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</si>
  <si>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</si>
  <si>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</si>
  <si>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</si>
  <si>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</si>
  <si>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</si>
  <si>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</si>
  <si>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</si>
  <si>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</si>
  <si>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</si>
  <si>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</si>
  <si>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</si>
  <si>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</si>
  <si>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</si>
  <si>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</si>
  <si>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</si>
  <si>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</si>
  <si>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</si>
  <si>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</si>
  <si>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</si>
  <si>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</si>
  <si>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</si>
  <si>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</si>
  <si>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</si>
  <si>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</si>
  <si>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</si>
  <si>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</si>
  <si>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</si>
  <si>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</si>
  <si>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</si>
  <si>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</si>
  <si>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</si>
  <si>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</si>
  <si>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</si>
  <si>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</si>
  <si>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</si>
  <si>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</si>
  <si>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</si>
  <si>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</si>
  <si>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</si>
  <si>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</si>
  <si>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</si>
  <si>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</si>
  <si>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</si>
  <si>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</si>
  <si>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</si>
  <si>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</si>
  <si>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</si>
  <si>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</si>
  <si>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</si>
  <si>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</si>
  <si>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</si>
  <si>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</si>
  <si>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</si>
  <si>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</si>
  <si>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</si>
  <si>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</si>
  <si>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</si>
  <si>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</si>
  <si>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</si>
  <si>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</si>
  <si>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</si>
  <si>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</si>
  <si>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</si>
  <si>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</si>
  <si>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</si>
  <si>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</si>
  <si>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</si>
  <si>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</si>
  <si>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</si>
  <si>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</si>
  <si>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</si>
  <si>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</si>
  <si>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</si>
  <si>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</si>
  <si>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</si>
  <si>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</si>
  <si>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</si>
  <si>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</si>
  <si>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</si>
  <si>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</si>
  <si>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</si>
  <si>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</si>
  <si>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</si>
  <si>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</si>
  <si>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</si>
  <si>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</si>
  <si>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</si>
  <si>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</si>
  <si>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</si>
  <si>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</si>
  <si>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</si>
  <si>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</si>
  <si>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</si>
  <si>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</si>
  <si>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</si>
  <si>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</si>
  <si>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</si>
  <si>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</si>
  <si>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</si>
  <si>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</si>
  <si>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</si>
  <si>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</si>
  <si>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</si>
  <si>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</si>
  <si>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</si>
  <si>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</si>
  <si>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</si>
  <si>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</si>
  <si>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</si>
  <si>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</si>
  <si>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</si>
  <si>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</si>
  <si>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</si>
  <si>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</si>
  <si>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</si>
  <si>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</si>
  <si>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</si>
  <si>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</si>
  <si>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</si>
  <si>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</si>
  <si>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</si>
  <si>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</si>
  <si>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</si>
  <si>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</si>
  <si>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</si>
  <si>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</si>
  <si>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</si>
  <si>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</si>
  <si>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</si>
  <si>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</si>
  <si>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</si>
  <si>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</si>
  <si>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</si>
  <si>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</si>
  <si>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</si>
  <si>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</si>
  <si>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</si>
  <si>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</si>
  <si>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</si>
  <si>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</si>
  <si>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</si>
  <si>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</si>
  <si>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</si>
  <si>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</si>
  <si>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</si>
  <si>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</si>
  <si>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</si>
  <si>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</si>
  <si>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</si>
  <si>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</si>
  <si>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</si>
  <si>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</si>
  <si>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</si>
  <si>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</si>
  <si>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</si>
  <si>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</si>
  <si>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</si>
  <si>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</si>
  <si>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</si>
  <si>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</si>
  <si>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</si>
  <si>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</si>
  <si>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</si>
  <si>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</si>
  <si>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</si>
  <si>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</si>
  <si>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</si>
  <si>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</si>
  <si>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</si>
  <si>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</si>
  <si>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</si>
  <si>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</si>
  <si>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</si>
  <si>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</si>
  <si>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</si>
  <si>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</si>
  <si>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</si>
  <si>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</si>
  <si>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</si>
  <si>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</si>
  <si>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</si>
  <si>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</si>
  <si>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</si>
  <si>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</si>
  <si>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</si>
  <si>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</si>
  <si>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</si>
  <si>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</si>
  <si>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</si>
  <si>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</si>
  <si>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</si>
  <si>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</si>
  <si>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</si>
  <si>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</si>
  <si>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</si>
  <si>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</si>
  <si>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</si>
  <si>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</si>
  <si>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</si>
  <si>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</si>
  <si>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</si>
  <si>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</si>
  <si>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</si>
  <si>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</si>
  <si>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</si>
  <si>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</si>
  <si>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</si>
  <si>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</si>
  <si>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</si>
  <si>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</si>
  <si>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</si>
  <si>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</si>
  <si>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</si>
  <si>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</si>
  <si>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</si>
  <si>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</si>
  <si>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</si>
  <si>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</si>
  <si>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</si>
  <si>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</si>
  <si>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</si>
  <si>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</si>
  <si>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</si>
  <si>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</si>
  <si>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</si>
  <si>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</si>
  <si>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</si>
  <si>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</si>
  <si>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</si>
  <si>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</si>
  <si>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</si>
  <si>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</si>
  <si>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</si>
  <si>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</si>
  <si>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</si>
  <si>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</si>
  <si>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</si>
  <si>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</si>
  <si>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</si>
  <si>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</si>
  <si>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</si>
  <si>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</si>
  <si>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</si>
  <si>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</si>
  <si>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</si>
  <si>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</si>
  <si>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</si>
  <si>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</si>
  <si>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</si>
  <si>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</si>
  <si>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</si>
  <si>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</si>
  <si>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</si>
  <si>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</si>
  <si>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</si>
  <si>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</si>
  <si>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</si>
  <si>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</si>
  <si>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</si>
  <si>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</si>
  <si>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</si>
  <si>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</si>
  <si>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</si>
  <si>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</si>
  <si>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</si>
  <si>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</si>
  <si>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</si>
  <si>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</si>
  <si>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</si>
  <si>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</si>
  <si>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</si>
  <si>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</si>
  <si>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</si>
  <si>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</si>
  <si>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</si>
  <si>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</si>
  <si>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</si>
  <si>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</si>
  <si>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</si>
  <si>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</si>
  <si>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</si>
  <si>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</si>
  <si>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</si>
  <si>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</si>
  <si>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</si>
  <si>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</si>
  <si>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</si>
  <si>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</si>
  <si>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</si>
  <si>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</si>
  <si>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</si>
  <si>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</si>
  <si>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</si>
  <si>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</si>
  <si>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</si>
  <si>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</si>
  <si>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</si>
  <si>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</si>
  <si>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</si>
  <si>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</si>
  <si>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</si>
  <si>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</si>
  <si>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</si>
  <si>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</si>
  <si>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</si>
  <si>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</si>
  <si>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</si>
  <si>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</si>
  <si>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</si>
  <si>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</si>
  <si>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</si>
  <si>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</si>
  <si>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</si>
  <si>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</si>
  <si>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</si>
  <si>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</si>
  <si>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</si>
  <si>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</si>
  <si>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</si>
  <si>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</si>
  <si>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</si>
  <si>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</si>
  <si>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</si>
  <si>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</si>
  <si>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</si>
  <si>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</si>
  <si>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</si>
  <si>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</si>
  <si>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</si>
  <si>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</si>
  <si>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</si>
  <si>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</si>
  <si>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</si>
  <si>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</si>
  <si>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</si>
  <si>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</si>
  <si>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</si>
  <si>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</si>
  <si>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</si>
  <si>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</si>
  <si>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</si>
  <si>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</si>
  <si>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</si>
  <si>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</si>
  <si>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</si>
  <si>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</si>
  <si>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</si>
  <si>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</si>
  <si>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</si>
  <si>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</si>
  <si>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</si>
  <si>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</si>
  <si>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</si>
  <si>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</si>
  <si>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</si>
  <si>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</si>
  <si>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</si>
  <si>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</si>
  <si>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</si>
  <si>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</si>
  <si>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</si>
  <si>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</si>
  <si>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</si>
  <si>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</si>
  <si>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</si>
  <si>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</si>
  <si>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</si>
  <si>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</si>
  <si>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</si>
  <si>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</si>
  <si>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</si>
  <si>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</si>
  <si>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</si>
  <si>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</si>
  <si>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</si>
  <si>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</si>
  <si>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</si>
  <si>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</si>
  <si>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</si>
  <si>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</si>
  <si>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</si>
  <si>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</si>
  <si>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</si>
  <si>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</si>
  <si>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</si>
  <si>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</si>
  <si>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</si>
  <si>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</si>
  <si>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</si>
  <si>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</si>
  <si>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</si>
  <si>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</si>
  <si>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</si>
  <si>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</si>
  <si>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</si>
  <si>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</si>
  <si>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</si>
  <si>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</si>
  <si>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</si>
  <si>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</si>
  <si>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</si>
  <si>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</si>
  <si>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</si>
  <si>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</si>
  <si>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</si>
  <si>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</si>
  <si>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</si>
  <si>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</si>
  <si>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</si>
  <si>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</si>
  <si>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</si>
  <si>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</si>
  <si>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</si>
  <si>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</si>
  <si>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</si>
  <si>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</si>
  <si>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</si>
  <si>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</si>
  <si>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</si>
  <si>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</si>
  <si>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</si>
  <si>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</si>
  <si>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</si>
  <si>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</si>
  <si>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</si>
  <si>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</si>
  <si>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</si>
  <si>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</si>
  <si>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</si>
  <si>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</si>
  <si>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</si>
  <si>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</si>
  <si>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</si>
  <si>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</si>
  <si>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</si>
  <si>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</si>
  <si>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</si>
  <si>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</si>
  <si>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</si>
  <si>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</si>
  <si>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</si>
  <si>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</si>
  <si>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</si>
  <si>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</si>
  <si>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</si>
  <si>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</si>
  <si>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</si>
  <si>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</si>
  <si>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</si>
  <si>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</si>
  <si>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</si>
  <si>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</si>
  <si>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</si>
  <si>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</si>
  <si>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</si>
  <si>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</si>
  <si>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</si>
  <si>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</si>
  <si>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</si>
  <si>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</si>
  <si>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</si>
  <si>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</si>
  <si>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</si>
  <si>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</si>
  <si>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</si>
  <si>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</si>
  <si>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</si>
  <si>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</si>
  <si>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</si>
  <si>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</si>
  <si>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</si>
  <si>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</si>
  <si>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</si>
  <si>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</si>
  <si>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</si>
  <si>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</si>
  <si>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</si>
  <si>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</si>
  <si>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</si>
  <si>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</si>
  <si>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</si>
  <si>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</si>
  <si>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</si>
  <si>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</si>
  <si>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</si>
  <si>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</si>
  <si>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</si>
  <si>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</si>
  <si>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</si>
  <si>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</si>
  <si>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</si>
  <si>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</si>
  <si>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</si>
  <si>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</si>
  <si>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</si>
  <si>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</si>
  <si>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</si>
  <si>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</si>
  <si>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</si>
  <si>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</si>
  <si>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</si>
  <si>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</si>
  <si>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</si>
  <si>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</si>
  <si>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</si>
  <si>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</si>
  <si>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</si>
  <si>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</si>
  <si>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</si>
  <si>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</si>
  <si>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</si>
  <si>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</si>
  <si>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</si>
  <si>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</si>
  <si>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</si>
  <si>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</si>
  <si>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</si>
  <si>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</si>
  <si>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</si>
  <si>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</si>
  <si>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</si>
  <si>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</si>
  <si>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</si>
  <si>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</si>
  <si>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</si>
  <si>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</si>
  <si>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</si>
  <si>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</si>
  <si>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</si>
  <si>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</si>
  <si>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</si>
  <si>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</si>
  <si>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</si>
  <si>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</si>
  <si>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</si>
  <si>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</si>
  <si>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</si>
  <si>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</si>
  <si>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</si>
  <si>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</si>
  <si>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</si>
  <si>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</si>
  <si>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</si>
  <si>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</si>
  <si>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</si>
  <si>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</si>
  <si>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</si>
  <si>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</si>
  <si>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</si>
  <si>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</si>
  <si>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</si>
  <si>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</si>
  <si>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</si>
  <si>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</si>
  <si>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</si>
  <si>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</si>
  <si>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</si>
  <si>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</si>
  <si>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</si>
  <si>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</si>
  <si>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</si>
  <si>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</si>
  <si>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</si>
  <si>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</si>
  <si>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</si>
  <si>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</si>
  <si>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</si>
  <si>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</si>
  <si>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</si>
  <si>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</si>
  <si>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</si>
  <si>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</si>
  <si>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</si>
  <si>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</si>
  <si>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</si>
  <si>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</si>
  <si>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</si>
  <si>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</si>
  <si>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</si>
  <si>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</si>
  <si>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</si>
  <si>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</si>
  <si>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</si>
  <si>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</si>
  <si>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</si>
  <si>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</si>
  <si>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</si>
  <si>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</si>
  <si>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</si>
  <si>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</si>
  <si>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</si>
  <si>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</si>
  <si>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</si>
  <si>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</si>
  <si>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</si>
  <si>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</si>
  <si>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</si>
  <si>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</si>
  <si>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</si>
  <si>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</si>
  <si>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</si>
  <si>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</si>
  <si>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</si>
  <si>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</si>
  <si>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</si>
  <si>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</si>
  <si>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</si>
  <si>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</si>
  <si>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</si>
  <si>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</si>
  <si>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</si>
  <si>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</si>
  <si>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</si>
  <si>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</si>
  <si>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</si>
  <si>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</si>
  <si>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</si>
  <si>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</si>
  <si>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</si>
  <si>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</si>
  <si>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</si>
  <si>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</si>
  <si>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</si>
  <si>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</si>
  <si>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</si>
  <si>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</si>
  <si>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</si>
  <si>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</si>
  <si>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</si>
  <si>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</si>
  <si>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</si>
  <si>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</si>
  <si>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</si>
  <si>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</si>
  <si>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</si>
  <si>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</si>
  <si>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</si>
  <si>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</si>
  <si>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</si>
  <si>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</si>
  <si>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</si>
  <si>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</si>
  <si>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</si>
  <si>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</si>
  <si>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</si>
  <si>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</si>
  <si>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</si>
  <si>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</si>
  <si>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</si>
  <si>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</si>
  <si>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</si>
  <si>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</si>
  <si>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</si>
  <si>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</si>
  <si>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</si>
  <si>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</si>
  <si>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</si>
  <si>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</si>
  <si>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</si>
  <si>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</si>
  <si>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</si>
  <si>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</si>
  <si>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</si>
  <si>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</si>
  <si>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</si>
  <si>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</si>
  <si>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</si>
  <si>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</si>
  <si>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</si>
  <si>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</si>
  <si>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</si>
  <si>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</si>
  <si>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</si>
  <si>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</si>
  <si>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</si>
  <si>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</si>
  <si>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</si>
  <si>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</si>
  <si>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</si>
  <si>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</si>
  <si>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</si>
  <si>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</si>
  <si>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</si>
  <si>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</si>
  <si>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</si>
  <si>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</si>
  <si>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</si>
  <si>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</si>
  <si>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</si>
  <si>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</si>
  <si>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</si>
  <si>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</si>
  <si>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</si>
  <si>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</si>
  <si>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</si>
  <si>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</si>
  <si>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</si>
  <si>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</si>
  <si>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</si>
  <si>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</si>
  <si>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</si>
  <si>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</si>
  <si>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</si>
  <si>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</si>
  <si>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</si>
  <si>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</si>
  <si>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</si>
  <si>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</si>
  <si>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</si>
  <si>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</si>
  <si>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</si>
  <si>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</si>
  <si>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</si>
  <si>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</si>
  <si>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</si>
  <si>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</si>
  <si>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</si>
  <si>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</si>
  <si>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</si>
  <si>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</si>
  <si>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</si>
  <si>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</si>
  <si>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</si>
  <si>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</si>
  <si>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</si>
  <si>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</si>
  <si>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</si>
  <si>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</si>
  <si>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</si>
  <si>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</si>
  <si>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</si>
  <si>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</si>
  <si>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</si>
  <si>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</si>
  <si>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</si>
  <si>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</si>
  <si>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</si>
  <si>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</si>
  <si>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</si>
  <si>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</si>
  <si>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</si>
  <si>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</si>
  <si>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</si>
  <si>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</si>
  <si>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</si>
  <si>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</si>
  <si>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</si>
  <si>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</si>
  <si>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</si>
  <si>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</si>
  <si>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</si>
  <si>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</si>
  <si>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</si>
  <si>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</si>
  <si>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</si>
  <si>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</si>
  <si>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</si>
  <si>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</si>
  <si>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</si>
  <si>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</si>
  <si>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</si>
  <si>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</si>
  <si>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</si>
  <si>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</si>
  <si>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</si>
  <si>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</si>
  <si>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</si>
  <si>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</si>
  <si>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</si>
  <si>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</si>
  <si>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</si>
  <si>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</si>
  <si>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</si>
  <si>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</si>
  <si>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</si>
  <si>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</si>
  <si>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</si>
  <si>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</si>
  <si>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</si>
  <si>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</si>
  <si>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</si>
  <si>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</si>
  <si>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</si>
  <si>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</si>
  <si>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</si>
  <si>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</si>
  <si>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</si>
  <si>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</si>
  <si>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</si>
  <si>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</si>
  <si>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</si>
  <si>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</si>
  <si>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</si>
  <si>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</si>
  <si>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</si>
  <si>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</si>
  <si>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</si>
  <si>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</si>
  <si>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</si>
  <si>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</si>
  <si>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</si>
  <si>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</si>
  <si>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</si>
  <si>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</si>
  <si>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</si>
  <si>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</si>
  <si>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</si>
  <si>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</si>
  <si>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</si>
  <si>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</si>
  <si>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</si>
  <si>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</si>
  <si>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</si>
  <si>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</si>
  <si>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</si>
  <si>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</si>
  <si>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</si>
  <si>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</si>
  <si>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</si>
  <si>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</si>
  <si>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</si>
  <si>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</si>
  <si>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</si>
  <si>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</si>
  <si>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</si>
  <si>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</si>
  <si>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</si>
  <si>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</si>
  <si>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</si>
  <si>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</si>
  <si>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</si>
  <si>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</si>
  <si>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</si>
  <si>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</si>
  <si>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</si>
  <si>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</si>
  <si>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</si>
  <si>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</si>
  <si>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</si>
  <si>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</si>
  <si>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</si>
  <si>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</si>
  <si>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</si>
  <si>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</si>
  <si>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</si>
  <si>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</si>
  <si>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</si>
  <si>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</si>
  <si>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</si>
  <si>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</si>
  <si>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</si>
  <si>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</si>
  <si>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</si>
  <si>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</si>
  <si>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</si>
  <si>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</si>
  <si>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</si>
  <si>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</si>
  <si>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</si>
  <si>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</si>
  <si>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</si>
  <si>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</si>
  <si>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</si>
  <si>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</si>
  <si>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</si>
  <si>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</si>
  <si>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</si>
  <si>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</si>
  <si>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</si>
  <si>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</si>
  <si>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</si>
  <si>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</si>
  <si>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</si>
  <si>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</si>
  <si>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</si>
  <si>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</si>
  <si>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</si>
  <si>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</si>
  <si>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</si>
  <si>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</si>
  <si>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</si>
  <si>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</si>
  <si>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</si>
  <si>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</si>
  <si>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</si>
  <si>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</si>
  <si>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</si>
  <si>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</si>
  <si>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</si>
  <si>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</si>
  <si>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</si>
  <si>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</si>
  <si>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</si>
  <si>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</si>
  <si>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</si>
  <si>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</si>
  <si>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</si>
  <si>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</si>
  <si>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</si>
  <si>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</si>
  <si>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</si>
  <si>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</si>
  <si>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</si>
  <si>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</si>
  <si>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</si>
  <si>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</si>
  <si>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</si>
  <si>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</si>
  <si>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</si>
  <si>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</si>
  <si>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</si>
  <si>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</si>
  <si>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</si>
  <si>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</si>
  <si>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</si>
  <si>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</si>
  <si>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</si>
  <si>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</si>
  <si>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</si>
  <si>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</si>
  <si>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</si>
  <si>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</si>
  <si>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</si>
  <si>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</si>
  <si>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</si>
  <si>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</si>
  <si>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</si>
  <si>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</si>
  <si>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</si>
  <si>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</si>
  <si>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</si>
  <si>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</si>
  <si>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</si>
  <si>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</si>
  <si>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</si>
  <si>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</si>
  <si>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</si>
  <si>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</si>
  <si>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</si>
  <si>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</si>
  <si>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</si>
  <si>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</si>
  <si>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</si>
  <si>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</si>
  <si>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</si>
  <si>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</si>
  <si>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</si>
  <si>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</si>
  <si>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</si>
  <si>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</si>
  <si>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</si>
  <si>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</si>
  <si>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</si>
  <si>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</si>
  <si>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</si>
  <si>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</si>
  <si>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</si>
  <si>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</si>
  <si>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</si>
  <si>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</si>
  <si>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</si>
  <si>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</si>
  <si>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</si>
  <si>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</si>
  <si>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</si>
  <si>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</si>
  <si>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</si>
  <si>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</si>
  <si>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</si>
  <si>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</si>
  <si>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</si>
  <si>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</si>
  <si>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</si>
  <si>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</si>
  <si>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</si>
  <si>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</si>
  <si>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</si>
  <si>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</si>
  <si>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</si>
  <si>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</si>
  <si>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</si>
  <si>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</si>
  <si>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</si>
  <si>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</si>
  <si>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</si>
  <si>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</si>
  <si>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</si>
  <si>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</si>
  <si>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</si>
  <si>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</si>
  <si>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</si>
  <si>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</si>
  <si>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</si>
  <si>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</si>
  <si>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</si>
  <si>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</si>
  <si>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</si>
  <si>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</si>
  <si>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</si>
  <si>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</si>
  <si>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</si>
  <si>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</si>
  <si>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</si>
  <si>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</si>
  <si>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</si>
  <si>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</si>
  <si>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</si>
  <si>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</si>
  <si>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</si>
  <si>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</si>
  <si>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</si>
  <si>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</si>
  <si>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</si>
  <si>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</si>
  <si>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</si>
  <si>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</si>
  <si>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</si>
  <si>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</si>
  <si>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</si>
  <si>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</si>
  <si>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</si>
  <si>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</si>
  <si>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</si>
  <si>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</si>
  <si>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</si>
  <si>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</si>
  <si>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</si>
  <si>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</si>
  <si>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</si>
  <si>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</si>
  <si>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</si>
  <si>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</si>
  <si>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</si>
  <si>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</si>
  <si>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</si>
  <si>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</si>
  <si>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</si>
  <si>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</si>
  <si>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</si>
  <si>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</si>
  <si>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</si>
  <si>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</si>
  <si>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</si>
  <si>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</si>
  <si>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</si>
  <si>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</si>
  <si>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</si>
  <si>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</si>
  <si>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</si>
  <si>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</si>
  <si>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</si>
  <si>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</si>
  <si>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</si>
  <si>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</si>
  <si>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</si>
  <si>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</si>
  <si>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</si>
  <si>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</si>
  <si>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</si>
  <si>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</si>
  <si>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</si>
  <si>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</si>
  <si>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</si>
  <si>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</si>
  <si>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</si>
  <si>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</si>
  <si>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</si>
  <si>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</si>
  <si>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</si>
  <si>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</si>
  <si>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</si>
  <si>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</si>
  <si>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</si>
  <si>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</si>
  <si>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</si>
  <si>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</si>
  <si>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</si>
  <si>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</si>
  <si>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</si>
  <si>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</si>
  <si>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</si>
  <si>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</si>
  <si>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</si>
  <si>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</si>
  <si>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</si>
  <si>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</si>
  <si>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</si>
  <si>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</si>
  <si>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</si>
  <si>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</si>
  <si>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</si>
  <si>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</si>
  <si>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</si>
  <si>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</si>
  <si>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</si>
  <si>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</si>
  <si>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</si>
  <si>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</si>
  <si>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</si>
  <si>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</si>
  <si>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</si>
  <si>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</si>
  <si>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</si>
  <si>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</si>
  <si>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</si>
  <si>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</si>
  <si>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</si>
  <si>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</si>
  <si>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</si>
  <si>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</si>
  <si>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</si>
  <si>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</si>
  <si>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</si>
  <si>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</si>
  <si>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</si>
  <si>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</si>
  <si>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</si>
  <si>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</si>
  <si>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</si>
  <si>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</si>
  <si>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</si>
  <si>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</si>
  <si>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</si>
  <si>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</si>
  <si>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</si>
  <si>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</si>
  <si>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</si>
  <si>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</si>
  <si>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</si>
  <si>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</si>
  <si>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</si>
  <si>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</si>
  <si>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</si>
  <si>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</si>
  <si>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</si>
  <si>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</si>
  <si>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</si>
  <si>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</si>
  <si>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</si>
  <si>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</si>
  <si>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</si>
  <si>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</si>
  <si>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</si>
  <si>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</si>
  <si>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</si>
  <si>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</si>
  <si>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</si>
  <si>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</si>
  <si>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</si>
  <si>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</si>
  <si>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</si>
  <si>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</si>
  <si>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</si>
  <si>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</si>
  <si>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</si>
  <si>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</si>
  <si>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</si>
  <si>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</si>
  <si>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</si>
  <si>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</si>
  <si>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</si>
  <si>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</si>
  <si>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</si>
  <si>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</si>
  <si>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</si>
  <si>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</si>
  <si>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</si>
  <si>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</si>
  <si>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</si>
  <si>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</si>
  <si>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</si>
  <si>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</si>
  <si>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</si>
  <si>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</si>
  <si>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</si>
  <si>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</si>
  <si>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</si>
  <si>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</si>
  <si>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</si>
  <si>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</si>
  <si>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</si>
  <si>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</si>
  <si>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</si>
  <si>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</si>
  <si>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</si>
  <si>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</si>
  <si>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</si>
  <si>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</si>
  <si>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</si>
  <si>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</si>
  <si>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</si>
  <si>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</si>
  <si>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</si>
  <si>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</si>
  <si>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</si>
  <si>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</si>
  <si>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</si>
  <si>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</si>
  <si>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</si>
  <si>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</si>
  <si>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</si>
  <si>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</si>
  <si>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</si>
  <si>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</si>
  <si>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</si>
  <si>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</si>
  <si>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</si>
  <si>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</si>
  <si>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</si>
  <si>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</si>
  <si>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</si>
  <si>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</si>
  <si>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</si>
  <si>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</si>
  <si>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</si>
  <si>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</si>
  <si>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</si>
  <si>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</si>
  <si>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</si>
  <si>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</si>
  <si>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</si>
  <si>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</si>
  <si>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</si>
  <si>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</si>
  <si>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</si>
  <si>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</si>
  <si>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</si>
  <si>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</si>
  <si>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</si>
  <si>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</si>
  <si>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</si>
  <si>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</si>
  <si>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</si>
  <si>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</si>
  <si>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</si>
  <si>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</si>
  <si>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</si>
  <si>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</si>
  <si>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</si>
  <si>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</si>
  <si>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</si>
  <si>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</si>
  <si>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</si>
  <si>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</si>
  <si>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</si>
  <si>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</si>
  <si>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</si>
  <si>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</si>
  <si>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</si>
  <si>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</si>
  <si>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</si>
  <si>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</si>
  <si>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</si>
  <si>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</si>
  <si>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</si>
  <si>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</si>
  <si>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</si>
  <si>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</si>
  <si>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</si>
  <si>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</si>
  <si>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</si>
  <si>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</si>
  <si>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</si>
  <si>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</si>
  <si>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</si>
  <si>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</si>
  <si>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</si>
  <si>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</si>
  <si>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</si>
  <si>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</si>
  <si>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</si>
  <si>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</si>
  <si>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</si>
  <si>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</si>
  <si>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</si>
  <si>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</si>
  <si>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</si>
  <si>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</si>
  <si>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</si>
  <si>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</si>
  <si>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</si>
  <si>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</si>
  <si>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</si>
  <si>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</si>
  <si>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</si>
  <si>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</si>
  <si>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</si>
  <si>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</si>
  <si>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</si>
  <si>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</si>
  <si>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</si>
  <si>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</si>
  <si>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</si>
  <si>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</si>
  <si>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</si>
  <si>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</si>
  <si>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</si>
  <si>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</si>
  <si>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</si>
  <si>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</si>
  <si>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</si>
  <si>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</si>
  <si>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</si>
  <si>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</si>
  <si>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</si>
  <si>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</si>
  <si>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</si>
  <si>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</si>
  <si>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</si>
  <si>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</si>
  <si>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</si>
  <si>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</si>
  <si>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</si>
  <si>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</si>
  <si>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</si>
  <si>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</si>
  <si>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</si>
  <si>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</si>
  <si>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</si>
  <si>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</si>
  <si>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</si>
  <si>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</si>
  <si>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</si>
  <si>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</si>
  <si>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</si>
  <si>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</si>
  <si>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</si>
  <si>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</si>
  <si>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</si>
  <si>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</si>
  <si>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</si>
  <si>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</si>
  <si>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</si>
  <si>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</si>
  <si>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</si>
  <si>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</si>
  <si>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</si>
  <si>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</si>
  <si>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</si>
  <si>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</si>
  <si>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</si>
  <si>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</si>
  <si>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</si>
  <si>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</si>
  <si>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</si>
  <si>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</si>
  <si>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</si>
  <si>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</si>
  <si>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</si>
  <si>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</si>
  <si>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</si>
  <si>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</si>
  <si>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</si>
  <si>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</si>
  <si>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</si>
  <si>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</si>
  <si>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</si>
  <si>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</si>
  <si>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</si>
  <si>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</si>
  <si>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</si>
  <si>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</si>
  <si>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</si>
  <si>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</si>
  <si>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</si>
  <si>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</si>
  <si>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</si>
  <si>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</si>
  <si>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</si>
  <si>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</si>
  <si>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</si>
  <si>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</si>
  <si>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</si>
  <si>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</si>
  <si>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</si>
  <si>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</si>
  <si>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</si>
  <si>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</si>
  <si>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</si>
  <si>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</si>
  <si>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</si>
  <si>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</si>
  <si>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</si>
  <si>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</si>
  <si>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</si>
  <si>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</si>
  <si>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</si>
  <si>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</si>
  <si>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</si>
  <si>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</si>
  <si>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</si>
  <si>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</si>
  <si>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</si>
  <si>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</si>
  <si>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</si>
  <si>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</si>
  <si>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</si>
  <si>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</si>
  <si>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</si>
  <si>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</si>
  <si>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</si>
  <si>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</si>
  <si>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</si>
  <si>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</si>
  <si>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</si>
  <si>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</si>
  <si>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</si>
  <si>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</si>
  <si>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</si>
  <si>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</si>
  <si>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</si>
  <si>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</si>
  <si>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</si>
  <si>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</si>
  <si>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</si>
  <si>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</si>
  <si>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</si>
  <si>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</si>
  <si>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</si>
  <si>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</si>
  <si>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</si>
  <si>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</si>
  <si>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</si>
  <si>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</si>
  <si>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</si>
  <si>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</si>
  <si>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</si>
  <si>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</si>
  <si>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</si>
  <si>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</si>
  <si>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</si>
  <si>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</si>
  <si>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</si>
  <si>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</si>
  <si>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</si>
  <si>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</si>
  <si>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</si>
  <si>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</si>
  <si>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</si>
  <si>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</si>
  <si>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</si>
  <si>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</si>
  <si>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</si>
  <si>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</si>
  <si>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</si>
  <si>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</si>
  <si>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</si>
  <si>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</si>
  <si>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</si>
  <si>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</si>
  <si>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</si>
  <si>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</si>
  <si>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</si>
  <si>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</si>
  <si>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</si>
  <si>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</si>
  <si>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</si>
  <si>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</si>
  <si>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</si>
  <si>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</si>
  <si>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</si>
  <si>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</si>
  <si>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</si>
  <si>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</si>
  <si>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</si>
  <si>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</si>
  <si>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</si>
  <si>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</si>
  <si>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</si>
  <si>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</si>
  <si>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</si>
  <si>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</si>
  <si>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</si>
  <si>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</si>
  <si>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</si>
  <si>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</si>
  <si>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</si>
  <si>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</si>
  <si>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</si>
  <si>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</si>
  <si>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</si>
  <si>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</si>
  <si>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</si>
  <si>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</si>
  <si>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</si>
  <si>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</si>
  <si>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</si>
  <si>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</si>
  <si>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</si>
  <si>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</si>
  <si>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</si>
  <si>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</si>
  <si>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</si>
  <si>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</si>
  <si>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</si>
  <si>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</si>
  <si>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</si>
  <si>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</si>
  <si>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</si>
  <si>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</si>
  <si>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</si>
  <si>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</si>
  <si>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</si>
  <si>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</si>
  <si>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</si>
  <si>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</si>
  <si>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</si>
  <si>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</si>
  <si>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</si>
  <si>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</si>
  <si>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</si>
  <si>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</si>
  <si>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</si>
  <si>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</si>
  <si>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</si>
  <si>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</si>
  <si>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</si>
  <si>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</si>
  <si>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</si>
  <si>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</si>
  <si>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</si>
  <si>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</si>
  <si>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</si>
  <si>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</si>
  <si>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</si>
  <si>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</si>
  <si>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</si>
  <si>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</si>
  <si>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</si>
  <si>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</si>
  <si>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</si>
  <si>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</si>
  <si>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</si>
  <si>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</si>
  <si>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</si>
  <si>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</si>
  <si>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</si>
  <si>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</si>
  <si>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</si>
  <si>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</si>
  <si>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</si>
  <si>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</si>
  <si>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</si>
  <si>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</si>
  <si>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</si>
  <si>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</si>
  <si>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</si>
  <si>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</si>
  <si>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</si>
  <si>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</si>
  <si>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</si>
  <si>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</si>
  <si>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</si>
  <si>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</si>
  <si>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</si>
  <si>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</si>
  <si>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</si>
  <si>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</si>
  <si>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</si>
  <si>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</si>
  <si>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</si>
  <si>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</si>
  <si>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</si>
  <si>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</si>
  <si>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</si>
  <si>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</si>
  <si>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</si>
  <si>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</si>
  <si>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</si>
  <si>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</si>
  <si>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</si>
  <si>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</si>
  <si>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</si>
  <si>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</si>
  <si>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</si>
  <si>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</si>
  <si>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</si>
  <si>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</si>
  <si>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</si>
  <si>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</si>
  <si>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</si>
  <si>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</si>
  <si>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</si>
  <si>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</si>
  <si>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</si>
  <si>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</si>
  <si>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</si>
  <si>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</si>
  <si>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</si>
  <si>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</si>
  <si>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</si>
  <si>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</si>
  <si>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</si>
  <si>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</si>
  <si>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</si>
  <si>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</si>
  <si>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</si>
  <si>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</si>
  <si>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</si>
  <si>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</si>
  <si>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</si>
  <si>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</si>
  <si>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</si>
  <si>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</si>
  <si>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</si>
  <si>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</si>
  <si>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</si>
  <si>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</si>
  <si>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</si>
  <si>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</si>
  <si>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</si>
  <si>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</si>
  <si>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</si>
  <si>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</si>
  <si>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</si>
  <si>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</si>
  <si>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</si>
  <si>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</si>
  <si>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</si>
  <si>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</si>
  <si>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</si>
  <si>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</si>
  <si>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</si>
  <si>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</si>
  <si>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</si>
  <si>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</si>
  <si>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</si>
  <si>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</si>
  <si>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</si>
  <si>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</si>
  <si>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</si>
  <si>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</si>
  <si>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</si>
  <si>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</si>
  <si>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</si>
  <si>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</si>
  <si>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</si>
  <si>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</si>
  <si>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</si>
  <si>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</si>
  <si>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</si>
  <si>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</si>
  <si>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</si>
  <si>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</si>
  <si>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</si>
  <si>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</si>
  <si>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</si>
  <si>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</si>
  <si>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</si>
  <si>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</si>
  <si>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</si>
  <si>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</si>
  <si>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</si>
  <si>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</si>
  <si>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</si>
  <si>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</si>
  <si>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</si>
  <si>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</si>
  <si>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</si>
  <si>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</si>
  <si>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</si>
  <si>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</si>
  <si>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</si>
  <si>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</si>
  <si>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</si>
  <si>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</si>
  <si>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</si>
  <si>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</si>
  <si>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</si>
  <si>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</si>
  <si>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</si>
  <si>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</si>
  <si>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</si>
  <si>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</si>
  <si>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</si>
  <si>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</si>
  <si>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</si>
  <si>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</si>
  <si>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</si>
  <si>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</si>
  <si>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</si>
  <si>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</si>
  <si>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</si>
  <si>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</si>
  <si>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</si>
  <si>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</si>
  <si>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</si>
  <si>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</si>
  <si>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</si>
  <si>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</si>
  <si>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</si>
  <si>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</si>
  <si>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</si>
  <si>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</si>
  <si>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</si>
  <si>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</si>
  <si>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</si>
  <si>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</si>
  <si>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</si>
  <si>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</si>
  <si>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</si>
  <si>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</si>
  <si>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</si>
  <si>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</si>
  <si>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</si>
  <si>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</si>
  <si>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</si>
  <si>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</si>
  <si>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</si>
  <si>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</si>
  <si>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</si>
  <si>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</si>
  <si>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</si>
  <si>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</si>
  <si>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</si>
  <si>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</si>
  <si>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</si>
  <si>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</si>
  <si>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</si>
  <si>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</si>
  <si>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</si>
  <si>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</si>
  <si>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</si>
  <si>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</si>
  <si>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</si>
  <si>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</si>
  <si>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</si>
  <si>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</si>
  <si>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</si>
  <si>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</si>
  <si>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</si>
  <si>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</si>
  <si>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</si>
  <si>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</si>
  <si>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</si>
  <si>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</si>
  <si>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</si>
  <si>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</si>
  <si>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</si>
  <si>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</si>
  <si>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</si>
  <si>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</si>
  <si>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</si>
  <si>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</si>
  <si>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</si>
  <si>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</si>
  <si>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</si>
  <si>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</si>
  <si>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</si>
  <si>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</si>
  <si>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</si>
  <si>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</si>
  <si>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</si>
  <si>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</si>
  <si>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</si>
  <si>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</si>
  <si>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</si>
  <si>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</si>
  <si>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</si>
  <si>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</si>
  <si>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</si>
  <si>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</si>
  <si>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</si>
  <si>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</si>
  <si>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</si>
  <si>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</si>
  <si>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</si>
  <si>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</si>
  <si>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</si>
  <si>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</si>
  <si>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</si>
  <si>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</si>
  <si>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</si>
  <si>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</si>
  <si>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</si>
  <si>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</si>
  <si>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</si>
  <si>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</si>
  <si>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</si>
  <si>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</si>
  <si>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</si>
  <si>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</si>
  <si>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</si>
  <si>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</si>
  <si>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</si>
  <si>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</si>
  <si>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</si>
  <si>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</si>
  <si>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</si>
  <si>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</si>
  <si>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</si>
  <si>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</si>
  <si>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</si>
  <si>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</si>
  <si>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</si>
  <si>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</si>
  <si>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</si>
  <si>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</si>
  <si>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</si>
  <si>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</si>
  <si>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</si>
  <si>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</si>
  <si>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</si>
  <si>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</si>
  <si>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</si>
  <si>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</si>
  <si>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</si>
  <si>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</si>
  <si>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</si>
  <si>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</si>
  <si>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</si>
  <si>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</si>
  <si>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</si>
  <si>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</si>
  <si>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</si>
  <si>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</si>
  <si>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</si>
  <si>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</si>
  <si>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</si>
  <si>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</si>
  <si>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</si>
  <si>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</si>
  <si>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</si>
  <si>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</si>
  <si>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</si>
  <si>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</si>
  <si>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</si>
  <si>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</si>
  <si>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</si>
  <si>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</si>
  <si>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</si>
  <si>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</si>
  <si>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</si>
  <si>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</si>
  <si>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</si>
  <si>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</si>
  <si>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</si>
  <si>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</si>
  <si>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</si>
  <si>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</si>
  <si>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</si>
  <si>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</si>
  <si>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</si>
  <si>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</si>
  <si>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</si>
  <si>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</si>
  <si>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</si>
  <si>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</si>
  <si>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</si>
  <si>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</si>
  <si>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</si>
  <si>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</si>
  <si>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</si>
  <si>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</si>
  <si>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</si>
  <si>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</si>
  <si>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</si>
  <si>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</si>
  <si>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</si>
  <si>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</si>
  <si>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</si>
  <si>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</si>
  <si>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</si>
  <si>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</si>
  <si>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</si>
  <si>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</si>
  <si>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</si>
  <si>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</si>
  <si>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</si>
  <si>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</si>
  <si>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</si>
  <si>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</si>
  <si>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</si>
  <si>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</si>
  <si>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</si>
  <si>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</si>
  <si>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</si>
  <si>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</si>
  <si>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</si>
  <si>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</si>
  <si>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</si>
  <si>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</si>
  <si>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</si>
  <si>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</si>
  <si>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</si>
  <si>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</si>
  <si>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</si>
  <si>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</si>
  <si>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</si>
  <si>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</si>
  <si>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</si>
  <si>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</si>
  <si>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</si>
  <si>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</si>
  <si>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</si>
  <si>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</si>
  <si>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</si>
  <si>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</si>
  <si>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</si>
  <si>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</si>
  <si>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</si>
  <si>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</si>
  <si>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</si>
  <si>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</si>
  <si>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</si>
  <si>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</si>
  <si>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</si>
  <si>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</si>
  <si>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</si>
  <si>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</si>
  <si>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</si>
  <si>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</si>
  <si>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</si>
  <si>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</si>
  <si>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</si>
  <si>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</si>
  <si>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</si>
  <si>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</si>
  <si>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</si>
  <si>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</si>
  <si>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</si>
  <si>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</si>
  <si>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</si>
  <si>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</si>
  <si>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</si>
  <si>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</si>
  <si>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</si>
  <si>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</si>
  <si>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</si>
  <si>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</si>
  <si>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</si>
  <si>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</si>
  <si>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</si>
  <si>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</si>
  <si>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</si>
  <si>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</si>
  <si>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</si>
  <si>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</si>
  <si>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</si>
  <si>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</si>
  <si>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</si>
  <si>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</si>
  <si>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</si>
  <si>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</si>
  <si>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</si>
  <si>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</si>
  <si>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</si>
  <si>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</si>
  <si>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</si>
  <si>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</si>
  <si>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</si>
  <si>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</si>
  <si>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</si>
  <si>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</si>
  <si>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</si>
  <si>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</si>
  <si>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</si>
  <si>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</si>
  <si>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</si>
  <si>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</si>
  <si>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</si>
  <si>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</si>
  <si>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</si>
  <si>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</si>
  <si>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</si>
  <si>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</si>
  <si>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</si>
  <si>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</si>
  <si>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</si>
  <si>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</si>
  <si>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</si>
  <si>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</si>
  <si>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</si>
  <si>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</si>
  <si>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</si>
  <si>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</si>
  <si>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</si>
  <si>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</si>
  <si>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</si>
  <si>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</si>
  <si>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</si>
  <si>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</si>
  <si>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</si>
  <si>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</si>
  <si>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</si>
  <si>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</si>
  <si>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</si>
  <si>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</si>
  <si>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</si>
  <si>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</si>
  <si>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</si>
  <si>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</si>
  <si>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</si>
  <si>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</si>
  <si>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</si>
  <si>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</si>
  <si>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</si>
  <si>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</si>
  <si>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</si>
  <si>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</si>
  <si>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</si>
  <si>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</si>
  <si>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</si>
  <si>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</si>
  <si>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</si>
  <si>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</si>
  <si>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</si>
  <si>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</si>
  <si>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</si>
  <si>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</si>
  <si>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</si>
  <si>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</si>
  <si>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</si>
  <si>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</si>
  <si>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</si>
  <si>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</si>
  <si>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</si>
  <si>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</si>
  <si>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</si>
  <si>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</si>
  <si>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</si>
  <si>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</si>
  <si>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</si>
  <si>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</si>
  <si>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</si>
  <si>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</si>
  <si>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</si>
  <si>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</si>
  <si>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</si>
  <si>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</si>
  <si>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</si>
  <si>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</si>
  <si>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</si>
  <si>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</si>
  <si>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</si>
  <si>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</si>
  <si>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</si>
  <si>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</si>
  <si>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</si>
  <si>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</si>
  <si>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</si>
  <si>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</si>
  <si>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</si>
  <si>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</si>
  <si>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</si>
  <si>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</si>
  <si>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</si>
  <si>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</si>
  <si>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</si>
  <si>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</si>
  <si>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</si>
  <si>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</si>
  <si>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</si>
  <si>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</si>
  <si>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</si>
  <si>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</si>
  <si>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</si>
  <si>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</si>
  <si>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</si>
  <si>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</si>
  <si>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</si>
  <si>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</si>
  <si>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</si>
  <si>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</si>
  <si>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</si>
  <si>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</si>
  <si>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</si>
  <si>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</si>
  <si>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</si>
  <si>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</si>
  <si>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</si>
  <si>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</si>
  <si>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</si>
  <si>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</si>
  <si>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</si>
  <si>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</si>
  <si>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</si>
  <si>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</si>
  <si>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</si>
  <si>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</si>
  <si>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</si>
  <si>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</si>
  <si>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</si>
  <si>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</si>
  <si>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</si>
  <si>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</si>
  <si>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</si>
  <si>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</si>
  <si>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</si>
  <si>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</si>
  <si>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</si>
  <si>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</si>
  <si>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</si>
  <si>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</si>
  <si>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</si>
  <si>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</si>
  <si>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</si>
  <si>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</si>
  <si>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</si>
  <si>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</si>
  <si>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</si>
  <si>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</si>
  <si>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</si>
  <si>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</si>
  <si>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</si>
  <si>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</si>
  <si>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</si>
  <si>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</si>
  <si>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</si>
  <si>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</si>
  <si>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</si>
  <si>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</si>
  <si>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</si>
  <si>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</si>
  <si>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</si>
  <si>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</si>
  <si>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</si>
  <si>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</si>
  <si>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</si>
  <si>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</si>
  <si>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</si>
  <si>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</si>
  <si>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</si>
  <si>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</si>
  <si>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</si>
  <si>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</si>
  <si>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</si>
  <si>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</si>
  <si>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</si>
  <si>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</si>
  <si>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</si>
  <si>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</si>
  <si>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</si>
  <si>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</si>
  <si>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</si>
  <si>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</si>
  <si>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</si>
  <si>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</si>
  <si>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</si>
  <si>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</si>
  <si>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</si>
  <si>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</si>
  <si>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</si>
  <si>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</si>
  <si>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</si>
  <si>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</si>
  <si>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</si>
  <si>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</si>
  <si>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</si>
  <si>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</si>
  <si>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</si>
  <si>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</si>
  <si>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</si>
  <si>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</si>
  <si>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</si>
  <si>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</si>
  <si>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</si>
  <si>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</si>
  <si>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</si>
  <si>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</si>
  <si>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</si>
  <si>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</si>
  <si>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</si>
  <si>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</si>
  <si>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</si>
  <si>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</si>
  <si>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</si>
  <si>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</si>
  <si>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</si>
  <si>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</si>
  <si>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</si>
  <si>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</si>
  <si>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</si>
  <si>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</si>
  <si>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</si>
  <si>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</si>
  <si>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</si>
  <si>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</si>
  <si>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</si>
  <si>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</si>
  <si>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</si>
  <si>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</si>
  <si>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</si>
  <si>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</si>
  <si>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</si>
  <si>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</si>
  <si>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</si>
  <si>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</si>
  <si>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</si>
  <si>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</si>
  <si>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</si>
  <si>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</si>
  <si>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</si>
  <si>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</si>
  <si>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</si>
  <si>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</si>
  <si>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</si>
  <si>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</si>
  <si>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</si>
  <si>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</si>
  <si>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</si>
  <si>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</si>
  <si>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</si>
  <si>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</si>
  <si>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</si>
  <si>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</si>
  <si>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</si>
  <si>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</si>
  <si>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</si>
  <si>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</si>
  <si>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</si>
  <si>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</si>
  <si>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</si>
  <si>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</si>
  <si>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</si>
  <si>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</si>
  <si>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</si>
  <si>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</si>
  <si>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</si>
  <si>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</si>
  <si>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</si>
  <si>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</si>
  <si>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</si>
  <si>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</si>
  <si>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</si>
  <si>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</si>
  <si>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</si>
  <si>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</si>
  <si>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</si>
  <si>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</si>
  <si>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</si>
  <si>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</si>
  <si>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</si>
  <si>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</si>
  <si>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</si>
  <si>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</si>
  <si>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</si>
  <si>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</si>
  <si>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</si>
  <si>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</si>
  <si>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</si>
  <si>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</si>
  <si>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</si>
  <si>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</si>
  <si>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</si>
  <si>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</si>
  <si>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</si>
  <si>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</si>
  <si>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</si>
  <si>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</si>
  <si>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</si>
  <si>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</si>
  <si>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</si>
  <si>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</si>
  <si>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</si>
  <si>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</si>
  <si>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</si>
  <si>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</si>
  <si>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</si>
  <si>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</si>
  <si>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</si>
  <si>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</si>
  <si>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</si>
  <si>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</si>
  <si>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</si>
  <si>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</si>
  <si>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</si>
  <si>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</si>
  <si>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</si>
  <si>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</si>
  <si>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</si>
  <si>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</si>
  <si>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</si>
  <si>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</si>
  <si>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</si>
  <si>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</si>
  <si>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</si>
  <si>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</si>
  <si>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</si>
  <si>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</si>
  <si>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</si>
  <si>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</si>
  <si>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</si>
  <si>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</si>
  <si>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</si>
  <si>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</si>
  <si>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</si>
  <si>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</si>
  <si>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</si>
  <si>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</si>
  <si>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</si>
  <si>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</si>
  <si>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</si>
  <si>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</si>
  <si>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</si>
  <si>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</si>
  <si>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</si>
  <si>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</si>
  <si>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</si>
  <si>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</si>
  <si>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</si>
  <si>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</si>
  <si>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</si>
  <si>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</si>
  <si>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</si>
  <si>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</si>
  <si>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</si>
  <si>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</si>
  <si>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</si>
  <si>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</si>
  <si>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</si>
  <si>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</si>
  <si>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</si>
  <si>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</si>
  <si>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</si>
  <si>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</si>
  <si>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</si>
  <si>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</si>
  <si>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</si>
  <si>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</si>
  <si>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</si>
  <si>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</si>
  <si>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</si>
  <si>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</si>
  <si>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</si>
  <si>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</si>
  <si>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</si>
  <si>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</si>
  <si>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</si>
  <si>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</si>
  <si>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</si>
  <si>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</si>
  <si>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</si>
  <si>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</si>
  <si>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</si>
  <si>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</si>
  <si>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</si>
  <si>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</si>
  <si>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</si>
  <si>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</si>
  <si>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</si>
  <si>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</si>
  <si>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</si>
  <si>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</si>
  <si>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</si>
  <si>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</si>
  <si>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</si>
  <si>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</si>
  <si>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</si>
  <si>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</si>
  <si>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</si>
  <si>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</si>
  <si>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</si>
  <si>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</si>
  <si>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</si>
  <si>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</si>
  <si>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</si>
  <si>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</si>
  <si>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</si>
  <si>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</si>
  <si>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</si>
  <si>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</si>
  <si>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</si>
  <si>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</si>
  <si>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</si>
  <si>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</si>
  <si>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</si>
  <si>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</si>
  <si>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</si>
  <si>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</si>
  <si>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</si>
  <si>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</si>
  <si>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</si>
  <si>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</si>
  <si>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</si>
  <si>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</si>
  <si>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</si>
  <si>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</si>
  <si>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</si>
  <si>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</si>
  <si>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</si>
  <si>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</si>
  <si>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</si>
  <si>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</si>
  <si>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</si>
  <si>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</si>
  <si>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</si>
  <si>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</si>
  <si>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</si>
  <si>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</si>
  <si>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</si>
  <si>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</si>
  <si>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</si>
  <si>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</si>
  <si>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</si>
  <si>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</si>
  <si>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</si>
  <si>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</si>
  <si>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</si>
  <si>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</si>
  <si>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</si>
  <si>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</si>
  <si>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</si>
  <si>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</si>
  <si>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</si>
  <si>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</si>
  <si>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</si>
  <si>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</si>
  <si>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</si>
  <si>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</si>
  <si>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</si>
  <si>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</si>
  <si>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</si>
  <si>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</si>
  <si>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</si>
  <si>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</si>
  <si>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</si>
  <si>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</si>
  <si>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</si>
  <si>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</si>
  <si>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</si>
  <si>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</si>
  <si>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</si>
  <si>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</si>
  <si>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</si>
  <si>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</si>
  <si>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</si>
  <si>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</si>
  <si>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</si>
  <si>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</si>
  <si>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</si>
  <si>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</si>
  <si>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</si>
  <si>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</si>
  <si>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</si>
  <si>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</si>
  <si>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</si>
  <si>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</si>
  <si>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</si>
  <si>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</si>
  <si>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</si>
  <si>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</si>
  <si>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</si>
  <si>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</si>
  <si>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</si>
  <si>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</si>
  <si>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</si>
  <si>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</si>
  <si>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</si>
  <si>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</si>
  <si>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</si>
  <si>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</si>
  <si>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</si>
  <si>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</si>
  <si>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</si>
  <si>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</si>
  <si>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</si>
  <si>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</si>
  <si>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</si>
  <si>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</si>
  <si>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</si>
  <si>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</si>
  <si>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</si>
  <si>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</si>
  <si>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</si>
  <si>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</si>
  <si>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</si>
  <si>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</si>
  <si>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</si>
  <si>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</si>
  <si>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</si>
  <si>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</si>
  <si>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</si>
  <si>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</si>
  <si>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</si>
  <si>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</si>
  <si>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</si>
  <si>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</si>
  <si>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</si>
  <si>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</si>
  <si>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</si>
  <si>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</si>
  <si>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</si>
  <si>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</si>
  <si>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</si>
  <si>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</si>
  <si>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</si>
  <si>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</si>
  <si>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</si>
  <si>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</si>
  <si>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</si>
  <si>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</si>
  <si>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</si>
  <si>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</si>
  <si>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</si>
  <si>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</si>
  <si>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</si>
  <si>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</si>
  <si>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</si>
  <si>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</si>
  <si>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</si>
  <si>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</si>
  <si>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</si>
  <si>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</si>
  <si>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</si>
  <si>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</si>
  <si>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</si>
  <si>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</si>
  <si>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</si>
  <si>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</si>
  <si>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</si>
  <si>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</si>
  <si>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</si>
  <si>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</si>
  <si>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</si>
  <si>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</si>
  <si>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</si>
  <si>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</si>
  <si>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</si>
  <si>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</si>
  <si>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</si>
  <si>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</si>
  <si>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</si>
  <si>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</si>
  <si>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</si>
  <si>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</si>
  <si>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</si>
  <si>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</si>
  <si>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</si>
  <si>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</si>
  <si>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</si>
  <si>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</si>
  <si>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</si>
  <si>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</si>
  <si>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</si>
  <si>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</si>
  <si>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</si>
  <si>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</si>
  <si>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</si>
  <si>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</si>
  <si>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</si>
  <si>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</si>
  <si>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</si>
  <si>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</si>
  <si>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</si>
  <si>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</si>
  <si>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</si>
  <si>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</si>
  <si>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</si>
  <si>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</si>
  <si>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</si>
  <si>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</si>
  <si>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</si>
  <si>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</si>
  <si>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</si>
  <si>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</si>
  <si>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</si>
  <si>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</si>
  <si>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</si>
  <si>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</si>
  <si>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</si>
  <si>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</si>
  <si>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</si>
  <si>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</si>
  <si>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</si>
  <si>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</si>
  <si>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</si>
  <si>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</si>
  <si>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</si>
  <si>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</si>
  <si>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</si>
  <si>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</si>
  <si>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</si>
  <si>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</si>
  <si>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</si>
  <si>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</si>
  <si>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</si>
  <si>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</si>
  <si>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</si>
  <si>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</si>
  <si>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</si>
  <si>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</si>
  <si>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</si>
  <si>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</si>
  <si>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</si>
  <si>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</si>
  <si>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</si>
  <si>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</si>
  <si>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</si>
  <si>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</si>
  <si>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</si>
  <si>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</si>
  <si>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</si>
  <si>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</si>
  <si>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</si>
  <si>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</si>
  <si>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</si>
  <si>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</si>
  <si>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</si>
  <si>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</si>
  <si>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</si>
  <si>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</si>
  <si>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</si>
  <si>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</si>
  <si>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</si>
  <si>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</si>
  <si>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</si>
  <si>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</si>
  <si>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</si>
  <si>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</si>
  <si>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</si>
  <si>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</si>
  <si>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</si>
  <si>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</si>
  <si>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</si>
  <si>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</si>
  <si>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</si>
  <si>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</si>
  <si>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</si>
  <si>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</si>
  <si>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</si>
  <si>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</si>
  <si>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</si>
  <si>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</si>
  <si>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</si>
  <si>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</si>
  <si>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</si>
  <si>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</si>
  <si>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</si>
  <si>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</si>
  <si>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</si>
  <si>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</si>
  <si>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</si>
  <si>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</si>
  <si>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</si>
  <si>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</si>
  <si>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</si>
  <si>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</si>
  <si>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</si>
  <si>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</si>
  <si>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</si>
  <si>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</si>
  <si>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</si>
  <si>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</si>
  <si>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</si>
  <si>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</si>
  <si>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</si>
  <si>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</si>
  <si>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</si>
  <si>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</si>
  <si>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</si>
  <si>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</si>
  <si>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</si>
  <si>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</si>
  <si>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</si>
  <si>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</si>
  <si>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</si>
  <si>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</si>
  <si>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</si>
  <si>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</si>
  <si>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</si>
  <si>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</si>
  <si>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</si>
  <si>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</si>
  <si>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</si>
  <si>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</si>
  <si>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</si>
  <si>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</si>
  <si>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</si>
  <si>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</si>
  <si>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</si>
  <si>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</si>
  <si>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</si>
  <si>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</si>
  <si>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</si>
  <si>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</si>
  <si>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</si>
  <si>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</si>
  <si>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</si>
  <si>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</si>
  <si>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</si>
  <si>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</si>
  <si>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</si>
  <si>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</si>
  <si>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</si>
  <si>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</si>
  <si>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</si>
  <si>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</si>
  <si>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</si>
  <si>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</si>
  <si>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</si>
  <si>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</si>
  <si>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</si>
  <si>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</si>
  <si>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</si>
  <si>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</si>
  <si>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</si>
  <si>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</si>
  <si>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</si>
  <si>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</si>
  <si>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</si>
  <si>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</si>
  <si>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</si>
  <si>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</si>
  <si>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</si>
  <si>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</si>
  <si>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</si>
  <si>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</si>
  <si>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</si>
  <si>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</si>
  <si>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</si>
  <si>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</si>
  <si>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</si>
  <si>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</si>
  <si>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</si>
  <si>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</si>
  <si>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</si>
  <si>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</si>
  <si>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</si>
  <si>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</si>
  <si>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</si>
  <si>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</si>
  <si>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</si>
  <si>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</si>
  <si>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</si>
  <si>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</si>
  <si>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</si>
  <si>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</si>
  <si>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</si>
  <si>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</si>
  <si>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</si>
  <si>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</si>
  <si>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</si>
  <si>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</si>
  <si>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</si>
  <si>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</si>
  <si>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</si>
  <si>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</si>
  <si>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</si>
  <si>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</si>
  <si>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</si>
  <si>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</si>
  <si>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</si>
  <si>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</si>
  <si>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</si>
  <si>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</si>
  <si>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</si>
  <si>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</si>
  <si>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</si>
  <si>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</si>
  <si>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</si>
  <si>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</si>
  <si>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</si>
  <si>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</si>
  <si>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</si>
  <si>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</si>
  <si>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</si>
  <si>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</si>
  <si>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</si>
  <si>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</si>
  <si>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</si>
  <si>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</si>
  <si>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</si>
  <si>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</si>
  <si>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</si>
  <si>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</si>
  <si>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</si>
  <si>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</si>
  <si>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</si>
  <si>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</si>
  <si>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</si>
  <si>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</si>
  <si>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</si>
  <si>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</si>
  <si>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</si>
  <si>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</si>
  <si>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</si>
  <si>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</si>
  <si>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</si>
  <si>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</si>
  <si>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</si>
  <si>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</si>
  <si>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</si>
  <si>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</si>
  <si>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</si>
  <si>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</si>
  <si>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</si>
  <si>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</si>
  <si>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</si>
  <si>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</si>
  <si>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</si>
  <si>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</si>
  <si>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</si>
  <si>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</si>
  <si>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</si>
  <si>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</si>
  <si>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</si>
  <si>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</si>
  <si>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</si>
  <si>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</si>
  <si>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</si>
  <si>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</si>
  <si>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</si>
  <si>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</si>
  <si>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</si>
  <si>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</si>
  <si>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</si>
  <si>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</si>
  <si>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</si>
  <si>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</si>
  <si>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</si>
  <si>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</si>
  <si>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</si>
  <si>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</si>
  <si>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</si>
  <si>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</si>
  <si>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</si>
  <si>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</si>
  <si>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</si>
  <si>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</si>
  <si>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</si>
  <si>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</si>
  <si>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</si>
  <si>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</si>
  <si>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</si>
  <si>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</si>
  <si>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</si>
  <si>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</si>
  <si>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</si>
  <si>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</si>
  <si>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</si>
  <si>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</si>
  <si>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</si>
  <si>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</si>
  <si>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</si>
  <si>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</si>
  <si>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</si>
  <si>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</si>
  <si>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</si>
  <si>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</si>
  <si>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</si>
  <si>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</si>
  <si>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</si>
  <si>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</si>
  <si>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</si>
  <si>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</si>
  <si>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</si>
  <si>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</si>
  <si>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</si>
  <si>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</si>
  <si>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</si>
  <si>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</si>
  <si>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</si>
  <si>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</si>
  <si>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</si>
  <si>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</si>
  <si>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</si>
  <si>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</si>
  <si>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</si>
  <si>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</si>
  <si>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</si>
  <si>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</si>
  <si>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30730793911</t>
  </si>
  <si>
    <t>01615033</t>
  </si>
  <si>
    <t>010048134</t>
  </si>
  <si>
    <t>ŠANDROPROM d.o.o.</t>
  </si>
  <si>
    <t>ŠANDROVAC</t>
  </si>
  <si>
    <t>BJELOVARSKA 6</t>
  </si>
  <si>
    <t>sandroprom@inet.hr</t>
  </si>
  <si>
    <t>www.sandrovac.hr</t>
  </si>
  <si>
    <t>043/874-909</t>
  </si>
  <si>
    <t>SANELA PAUKOVAC</t>
  </si>
  <si>
    <t>PAUKOVAC SANELA</t>
  </si>
  <si>
    <t>013</t>
  </si>
  <si>
    <t>014</t>
  </si>
  <si>
    <t>015</t>
  </si>
  <si>
    <t>016</t>
  </si>
  <si>
    <t>017</t>
  </si>
  <si>
    <t>018</t>
  </si>
  <si>
    <t>019</t>
  </si>
  <si>
    <t>020</t>
  </si>
  <si>
    <t>021</t>
  </si>
  <si>
    <t>022</t>
  </si>
  <si>
    <t>023</t>
  </si>
  <si>
    <t>024</t>
  </si>
  <si>
    <t>025</t>
  </si>
  <si>
    <t>026</t>
  </si>
  <si>
    <t>030</t>
  </si>
  <si>
    <t>027</t>
  </si>
  <si>
    <t>028</t>
  </si>
  <si>
    <t>029</t>
  </si>
  <si>
    <t>031</t>
  </si>
  <si>
    <t>002</t>
  </si>
  <si>
    <t>003</t>
  </si>
  <si>
    <t>005</t>
  </si>
  <si>
    <t>006</t>
  </si>
  <si>
    <t>007</t>
  </si>
  <si>
    <t>008</t>
  </si>
  <si>
    <t>010</t>
  </si>
  <si>
    <t>009</t>
  </si>
  <si>
    <t>011</t>
  </si>
  <si>
    <t>012</t>
  </si>
  <si>
    <t>001</t>
  </si>
  <si>
    <t>004</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</si>
</sst>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446316.3</v>
      </c>
      <c r="I3" s="31">
        <f>ABS(ROUND(J3,0)-J3)+ABS(ROUND(K3,0)-K3)</f>
        <v>0</v>
      </c>
      <c r="J3" s="31">
        <f>Bilanca!I10</f>
        <v>7677859</v>
      </c>
      <c r="K3" s="31">
        <f>Bilanca!J10</f>
        <v>7318978</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01615033</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010048134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30730793911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ŠANDROPROM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43227</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ŠANDROVAC</v>
      </c>
      <c r="D11" s="4" t="s">
        <v>1521</v>
      </c>
      <c r="E11" s="4">
        <v>1</v>
      </c>
      <c r="F11" s="4">
        <f>Bilanca!G18</f>
        <v>10</v>
      </c>
      <c r="G11" s="4">
        <f>IF(Bilanca!H18=0,"",Bilanca!H18)</f>
      </c>
      <c r="H11" s="30">
        <f t="shared" si="0"/>
        <v>2231581.5</v>
      </c>
      <c r="I11" s="31">
        <f t="shared" si="1"/>
        <v>0</v>
      </c>
      <c r="J11" s="31">
        <f>Bilanca!I18</f>
        <v>7677859</v>
      </c>
      <c r="K11" s="31">
        <f>Bilanca!J18</f>
        <v>7318978</v>
      </c>
    </row>
    <row r="12" spans="1:11" ht="12.75">
      <c r="A12" s="4" t="s">
        <v>2357</v>
      </c>
      <c r="B12" s="29" t="str">
        <f>TRIM(RefStr!C33)</f>
        <v>BJELOVARSKA 6</v>
      </c>
      <c r="D12" s="4" t="s">
        <v>1521</v>
      </c>
      <c r="E12" s="4">
        <v>1</v>
      </c>
      <c r="F12" s="4">
        <f>Bilanca!G19</f>
        <v>11</v>
      </c>
      <c r="G12" s="4" t="str">
        <f>IF(Bilanca!H19=0,"",Bilanca!H19)</f>
        <v>013</v>
      </c>
      <c r="H12" s="30">
        <f t="shared" si="0"/>
        <v>4307.82</v>
      </c>
      <c r="I12" s="31">
        <f t="shared" si="1"/>
        <v>0</v>
      </c>
      <c r="J12" s="31">
        <f>Bilanca!I19</f>
        <v>13054</v>
      </c>
      <c r="K12" s="31">
        <f>Bilanca!J19</f>
        <v>13054</v>
      </c>
    </row>
    <row r="13" spans="1:11" ht="12.75">
      <c r="A13" s="4" t="s">
        <v>1193</v>
      </c>
      <c r="B13" s="29" t="str">
        <f>TRIM(RefStr!C35)</f>
        <v>sandroprom@inet.hr</v>
      </c>
      <c r="D13" s="4" t="s">
        <v>1521</v>
      </c>
      <c r="E13" s="4">
        <v>1</v>
      </c>
      <c r="F13" s="4">
        <f>Bilanca!G20</f>
        <v>12</v>
      </c>
      <c r="G13" s="4" t="str">
        <f>IF(Bilanca!H20=0,"",Bilanca!H20)</f>
        <v>014</v>
      </c>
      <c r="H13" s="30">
        <f t="shared" si="0"/>
        <v>2024231.64</v>
      </c>
      <c r="I13" s="31">
        <f t="shared" si="1"/>
        <v>0</v>
      </c>
      <c r="J13" s="31">
        <f>Bilanca!I20</f>
        <v>5675131</v>
      </c>
      <c r="K13" s="31">
        <f>Bilanca!J20</f>
        <v>5596733</v>
      </c>
    </row>
    <row r="14" spans="1:11" ht="12.75">
      <c r="A14" s="4" t="s">
        <v>1194</v>
      </c>
      <c r="B14" s="29" t="str">
        <f>TRIM(RefStr!C37)</f>
        <v>www.sandrovac.hr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07</v>
      </c>
      <c r="D15" s="4" t="s">
        <v>1521</v>
      </c>
      <c r="E15" s="4">
        <v>1</v>
      </c>
      <c r="F15" s="4">
        <f>Bilanca!G22</f>
        <v>14</v>
      </c>
      <c r="G15" s="4" t="str">
        <f>IF(Bilanca!H22=0,"",Bilanca!H22)</f>
        <v>015</v>
      </c>
      <c r="H15" s="30">
        <f t="shared" si="0"/>
        <v>746627.8400000001</v>
      </c>
      <c r="I15" s="31">
        <f t="shared" si="1"/>
        <v>0</v>
      </c>
      <c r="J15" s="31">
        <f>Bilanca!I22</f>
        <v>1914674</v>
      </c>
      <c r="K15" s="31">
        <f>Bilanca!J22</f>
        <v>1709191</v>
      </c>
    </row>
    <row r="16" spans="1:11" ht="12.75">
      <c r="A16" s="4" t="s">
        <v>2359</v>
      </c>
      <c r="B16" s="29" t="str">
        <f>TEXT(RefStr!C39,"000")</f>
        <v>564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4312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12750</v>
      </c>
      <c r="I18" s="31">
        <f t="shared" si="1"/>
        <v>0</v>
      </c>
      <c r="J18" s="31">
        <f>Bilanca!I25</f>
        <v>75000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t="str">
        <f>IF(Bilanca!H45=0,"",Bilanca!H45)</f>
        <v>016</v>
      </c>
      <c r="H38" s="30">
        <f t="shared" si="0"/>
        <v>401487</v>
      </c>
      <c r="I38" s="31">
        <f t="shared" si="1"/>
        <v>0</v>
      </c>
      <c r="J38" s="31">
        <f>Bilanca!I45</f>
        <v>401380</v>
      </c>
      <c r="K38" s="31">
        <f>Bilanca!J45</f>
        <v>341860</v>
      </c>
    </row>
    <row r="39" spans="1:11" ht="12.75">
      <c r="A39" s="4" t="s">
        <v>1216</v>
      </c>
      <c r="B39" s="29" t="str">
        <f>RefStr!C68</f>
        <v>SANELA PAUKOVAC</v>
      </c>
      <c r="D39" s="4" t="s">
        <v>1521</v>
      </c>
      <c r="E39" s="4">
        <v>1</v>
      </c>
      <c r="F39" s="4">
        <f>Bilanca!G46</f>
        <v>38</v>
      </c>
      <c r="G39" s="4">
        <f>IF(Bilanca!H46=0,"",Bilanca!H46)</f>
      </c>
      <c r="H39" s="30">
        <f t="shared" si="0"/>
        <v>96077.3</v>
      </c>
      <c r="I39" s="31">
        <f t="shared" si="1"/>
        <v>0</v>
      </c>
      <c r="J39" s="31">
        <f>Bilanca!I46</f>
        <v>94135</v>
      </c>
      <c r="K39" s="31">
        <f>Bilanca!J46</f>
        <v>79350</v>
      </c>
    </row>
    <row r="40" spans="1:11" ht="12.75">
      <c r="A40" s="4" t="s">
        <v>1217</v>
      </c>
      <c r="B40" s="29" t="str">
        <f>TRIM(RefStr!C70)</f>
        <v>043/874-909</v>
      </c>
      <c r="D40" s="4" t="s">
        <v>1521</v>
      </c>
      <c r="E40" s="4">
        <v>1</v>
      </c>
      <c r="F40" s="4">
        <f>Bilanca!G47</f>
        <v>39</v>
      </c>
      <c r="G40" s="4" t="str">
        <f>IF(Bilanca!H47=0,"",Bilanca!H47)</f>
        <v>017</v>
      </c>
      <c r="H40" s="30">
        <f t="shared" si="0"/>
        <v>94294.2</v>
      </c>
      <c r="I40" s="31">
        <f t="shared" si="1"/>
        <v>0</v>
      </c>
      <c r="J40" s="31">
        <f>Bilanca!I47</f>
        <v>88730</v>
      </c>
      <c r="K40" s="31">
        <f>Bilanca!J47</f>
        <v>76525</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sandroprom@inet.hr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PAUKOVAC SANELA</v>
      </c>
      <c r="D43" s="4" t="s">
        <v>1521</v>
      </c>
      <c r="E43" s="4">
        <v>1</v>
      </c>
      <c r="F43" s="4">
        <f>Bilanca!G50</f>
        <v>42</v>
      </c>
      <c r="G43" s="4" t="str">
        <f>IF(Bilanca!H50=0,"",Bilanca!H50)</f>
        <v>018</v>
      </c>
      <c r="H43" s="30">
        <f t="shared" si="0"/>
        <v>4643.1</v>
      </c>
      <c r="I43" s="31">
        <f t="shared" si="1"/>
        <v>0</v>
      </c>
      <c r="J43" s="31">
        <f>Bilanca!I50</f>
        <v>5405</v>
      </c>
      <c r="K43" s="31">
        <f>Bilanca!J50</f>
        <v>2825</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019</v>
      </c>
      <c r="H47" s="30">
        <f t="shared" si="2"/>
        <v>339459.30000000005</v>
      </c>
      <c r="I47" s="31">
        <f t="shared" si="3"/>
        <v>0</v>
      </c>
      <c r="J47" s="31">
        <f>Bilanca!I54</f>
        <v>281029</v>
      </c>
      <c r="K47" s="31">
        <f>Bilanca!J54</f>
        <v>228463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019</v>
      </c>
      <c r="H50" s="30">
        <f t="shared" si="2"/>
        <v>298004.28</v>
      </c>
      <c r="I50" s="31">
        <f t="shared" si="3"/>
        <v>0</v>
      </c>
      <c r="J50" s="31">
        <f>Bilanca!I57</f>
        <v>157346</v>
      </c>
      <c r="K50" s="31">
        <f>Bilanca!J57</f>
        <v>225413</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t="str">
        <f>IF(Bilanca!H59=0,"",Bilanca!H59)</f>
        <v>020</v>
      </c>
      <c r="H52" s="30">
        <f t="shared" si="2"/>
        <v>66189.32999999999</v>
      </c>
      <c r="I52" s="31">
        <f t="shared" si="3"/>
        <v>0</v>
      </c>
      <c r="J52" s="31">
        <f>Bilanca!I59</f>
        <v>123683</v>
      </c>
      <c r="K52" s="31">
        <f>Bilanca!J59</f>
        <v>3050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473554856.7400001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021</v>
      </c>
      <c r="H64" s="30">
        <f t="shared" si="2"/>
        <v>59415.3</v>
      </c>
      <c r="I64" s="31">
        <f t="shared" si="3"/>
        <v>0</v>
      </c>
      <c r="J64" s="31">
        <f>Bilanca!I71</f>
        <v>26216</v>
      </c>
      <c r="K64" s="31">
        <f>Bilanca!J71</f>
        <v>34047</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15210594.75</v>
      </c>
      <c r="I66" s="31">
        <f t="shared" si="3"/>
        <v>0</v>
      </c>
      <c r="J66" s="31">
        <f>Bilanca!I73</f>
        <v>8079239</v>
      </c>
      <c r="K66" s="31">
        <f>Bilanca!J73</f>
        <v>7660838</v>
      </c>
    </row>
    <row r="67" spans="1:11" ht="12.75">
      <c r="A67" s="4" t="s">
        <v>689</v>
      </c>
      <c r="B67" s="29" t="str">
        <f>RefStr!L35</f>
        <v>043/874-909</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1079529.46</v>
      </c>
      <c r="I68" s="31">
        <f t="shared" si="3"/>
        <v>0</v>
      </c>
      <c r="J68" s="31">
        <f>Bilanca!I76</f>
        <v>495864</v>
      </c>
      <c r="K68" s="31">
        <f>Bilanca!J76</f>
        <v>557687</v>
      </c>
    </row>
    <row r="69" spans="1:11" ht="12.75">
      <c r="A69" s="4" t="s">
        <v>691</v>
      </c>
      <c r="B69" s="29">
        <f>RefStr!M46</f>
        <v>0</v>
      </c>
      <c r="D69" s="4" t="s">
        <v>1521</v>
      </c>
      <c r="E69" s="4">
        <v>1</v>
      </c>
      <c r="F69" s="4">
        <f>Bilanca!G77</f>
        <v>68</v>
      </c>
      <c r="G69" s="4" t="str">
        <f>IF(Bilanca!H77=0,"",Bilanca!H77)</f>
        <v>022</v>
      </c>
      <c r="H69" s="30">
        <f t="shared" si="2"/>
        <v>799680</v>
      </c>
      <c r="I69" s="31">
        <f t="shared" si="3"/>
        <v>0</v>
      </c>
      <c r="J69" s="31">
        <f>Bilanca!I77</f>
        <v>392000</v>
      </c>
      <c r="K69" s="31">
        <f>Bilanca!J77</f>
        <v>392000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154778.04</v>
      </c>
      <c r="I82" s="31">
        <f t="shared" si="3"/>
        <v>0</v>
      </c>
      <c r="J82" s="31">
        <f>Bilanca!I90</f>
        <v>-6184</v>
      </c>
      <c r="K82" s="31">
        <f>Bilanca!J90</f>
        <v>98634</v>
      </c>
    </row>
    <row r="83" spans="4:11" ht="12.75">
      <c r="D83" s="4" t="s">
        <v>1521</v>
      </c>
      <c r="E83" s="4">
        <v>1</v>
      </c>
      <c r="F83" s="4">
        <f>Bilanca!G91</f>
        <v>82</v>
      </c>
      <c r="G83" s="4" t="str">
        <f>IF(Bilanca!H91=0,"",Bilanca!H91)</f>
        <v>023</v>
      </c>
      <c r="H83" s="30">
        <f t="shared" si="2"/>
        <v>161759.76</v>
      </c>
      <c r="I83" s="31">
        <f t="shared" si="3"/>
        <v>0</v>
      </c>
      <c r="J83" s="31">
        <f>Bilanca!I91</f>
        <v>0</v>
      </c>
      <c r="K83" s="31">
        <f>Bilanca!J91</f>
        <v>98634</v>
      </c>
    </row>
    <row r="84" spans="4:11" ht="12.75">
      <c r="D84" s="4" t="s">
        <v>1521</v>
      </c>
      <c r="E84" s="4">
        <v>1</v>
      </c>
      <c r="F84" s="4">
        <f>Bilanca!G92</f>
        <v>83</v>
      </c>
      <c r="G84" s="4">
        <f>IF(Bilanca!H92=0,"",Bilanca!H92)</f>
      </c>
      <c r="H84" s="30">
        <f t="shared" si="2"/>
        <v>5132.72</v>
      </c>
      <c r="I84" s="31">
        <f t="shared" si="3"/>
        <v>0</v>
      </c>
      <c r="J84" s="31">
        <f>Bilanca!I92</f>
        <v>6184</v>
      </c>
      <c r="K84" s="31">
        <f>Bilanca!J92</f>
        <v>0</v>
      </c>
    </row>
    <row r="85" spans="4:11" ht="12.75">
      <c r="D85" s="4" t="s">
        <v>1521</v>
      </c>
      <c r="E85" s="4">
        <v>1</v>
      </c>
      <c r="F85" s="4">
        <f>Bilanca!G93</f>
        <v>84</v>
      </c>
      <c r="G85" s="4">
        <f>IF(Bilanca!H93=0,"",Bilanca!H93)</f>
      </c>
      <c r="H85" s="30">
        <f>J85/100*F85+2*K85/100*F85</f>
        <v>205089.36</v>
      </c>
      <c r="I85" s="31">
        <f>ABS(ROUND(J85,0)-J85)+ABS(ROUND(K85,0)-K85)</f>
        <v>0</v>
      </c>
      <c r="J85" s="31">
        <f>Bilanca!I93</f>
        <v>110048</v>
      </c>
      <c r="K85" s="31">
        <f>Bilanca!J93</f>
        <v>67053</v>
      </c>
    </row>
    <row r="86" spans="4:11" ht="12.75">
      <c r="D86" s="4" t="s">
        <v>1521</v>
      </c>
      <c r="E86" s="4">
        <v>1</v>
      </c>
      <c r="F86" s="4">
        <f>Bilanca!G94</f>
        <v>85</v>
      </c>
      <c r="G86" s="4" t="str">
        <f>IF(Bilanca!H94=0,"",Bilanca!H94)</f>
        <v>024</v>
      </c>
      <c r="H86" s="30">
        <f>J86/100*F86+2*K86/100*F86</f>
        <v>207530.9</v>
      </c>
      <c r="I86" s="31">
        <f>ABS(ROUND(J86,0)-J86)+ABS(ROUND(K86,0)-K86)</f>
        <v>0</v>
      </c>
      <c r="J86" s="31">
        <f>Bilanca!I94</f>
        <v>110048</v>
      </c>
      <c r="K86" s="31">
        <f>Bilanca!J94</f>
        <v>67053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025</v>
      </c>
      <c r="H96" s="30">
        <f t="shared" si="4"/>
        <v>2341336.75</v>
      </c>
      <c r="I96" s="31">
        <f t="shared" si="5"/>
        <v>0</v>
      </c>
      <c r="J96" s="31">
        <f>Bilanca!I104</f>
        <v>1016935</v>
      </c>
      <c r="K96" s="31">
        <f>Bilanca!J104</f>
        <v>723815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969786.8500000001</v>
      </c>
      <c r="I102" s="31">
        <f t="shared" si="5"/>
        <v>0</v>
      </c>
      <c r="J102" s="31">
        <f>Bilanca!I110</f>
        <v>430555</v>
      </c>
      <c r="K102" s="31">
        <f>Bilanca!J110</f>
        <v>264815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1579599</v>
      </c>
      <c r="I106" s="31">
        <f t="shared" si="5"/>
        <v>0</v>
      </c>
      <c r="J106" s="31">
        <f>Bilanca!I114</f>
        <v>586380</v>
      </c>
      <c r="K106" s="31">
        <f>Bilanca!J114</f>
        <v>459000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026</v>
      </c>
      <c r="H108" s="30">
        <f t="shared" si="4"/>
        <v>714900.1699999999</v>
      </c>
      <c r="I108" s="31">
        <f t="shared" si="5"/>
        <v>0</v>
      </c>
      <c r="J108" s="31">
        <f>Bilanca!I116</f>
        <v>295181</v>
      </c>
      <c r="K108" s="31">
        <f>Bilanca!J116</f>
        <v>186475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t="str">
        <f>IF(Bilanca!H123=0,"",Bilanca!H123)</f>
        <v>030</v>
      </c>
      <c r="H115" s="30">
        <f t="shared" si="4"/>
        <v>25165.5</v>
      </c>
      <c r="I115" s="31">
        <f t="shared" si="5"/>
        <v>0</v>
      </c>
      <c r="J115" s="31">
        <f>Bilanca!I123</f>
        <v>21475</v>
      </c>
      <c r="K115" s="31">
        <f>Bilanca!J123</f>
        <v>300</v>
      </c>
    </row>
    <row r="116" spans="4:11" ht="12.75">
      <c r="D116" s="4" t="s">
        <v>1521</v>
      </c>
      <c r="E116" s="4">
        <v>1</v>
      </c>
      <c r="F116" s="4">
        <f>Bilanca!G124</f>
        <v>115</v>
      </c>
      <c r="G116" s="4" t="str">
        <f>IF(Bilanca!H124=0,"",Bilanca!H124)</f>
        <v>027</v>
      </c>
      <c r="H116" s="30">
        <f t="shared" si="4"/>
        <v>298742.4</v>
      </c>
      <c r="I116" s="31">
        <f t="shared" si="5"/>
        <v>0</v>
      </c>
      <c r="J116" s="31">
        <f>Bilanca!I124</f>
        <v>204042</v>
      </c>
      <c r="K116" s="31">
        <f>Bilanca!J124</f>
        <v>27867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028</v>
      </c>
      <c r="H118" s="30">
        <f t="shared" si="4"/>
        <v>257639.85</v>
      </c>
      <c r="I118" s="31">
        <f t="shared" si="5"/>
        <v>0</v>
      </c>
      <c r="J118" s="31">
        <f>Bilanca!I126</f>
        <v>48135</v>
      </c>
      <c r="K118" s="31">
        <f>Bilanca!J126</f>
        <v>86035</v>
      </c>
    </row>
    <row r="119" spans="4:11" ht="12.75">
      <c r="D119" s="4" t="s">
        <v>1521</v>
      </c>
      <c r="E119" s="4">
        <v>1</v>
      </c>
      <c r="F119" s="4">
        <f>Bilanca!G127</f>
        <v>118</v>
      </c>
      <c r="G119" s="4" t="str">
        <f>IF(Bilanca!H127=0,"",Bilanca!H127)</f>
        <v>029</v>
      </c>
      <c r="H119" s="30">
        <f t="shared" si="4"/>
        <v>195968.5</v>
      </c>
      <c r="I119" s="31">
        <f t="shared" si="5"/>
        <v>0</v>
      </c>
      <c r="J119" s="31">
        <f>Bilanca!I127</f>
        <v>21529</v>
      </c>
      <c r="K119" s="31">
        <f>Bilanca!J127</f>
        <v>72273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t="str">
        <f>IF(Bilanca!H131=0,"",Bilanca!H131)</f>
        <v>031</v>
      </c>
      <c r="H123" s="30">
        <f t="shared" si="4"/>
        <v>22761516.82</v>
      </c>
      <c r="I123" s="31">
        <f t="shared" si="5"/>
        <v>0</v>
      </c>
      <c r="J123" s="31">
        <f>Bilanca!I131</f>
        <v>6271259</v>
      </c>
      <c r="K123" s="31">
        <f>Bilanca!J131</f>
        <v>6192861</v>
      </c>
    </row>
    <row r="124" spans="4:11" ht="12.75">
      <c r="D124" s="4" t="s">
        <v>1521</v>
      </c>
      <c r="E124" s="4">
        <v>1</v>
      </c>
      <c r="F124" s="4">
        <f>Bilanca!G132</f>
        <v>123</v>
      </c>
      <c r="G124" s="4">
        <f>IF(Bilanca!H132=0,"",Bilanca!H132)</f>
      </c>
      <c r="H124" s="30">
        <f t="shared" si="4"/>
        <v>28783125.450000003</v>
      </c>
      <c r="I124" s="31">
        <f t="shared" si="5"/>
        <v>0</v>
      </c>
      <c r="J124" s="31">
        <f>Bilanca!I132</f>
        <v>8079239</v>
      </c>
      <c r="K124" s="31">
        <f>Bilanca!J132</f>
        <v>7660838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7444765</v>
      </c>
      <c r="I126" s="4">
        <f t="shared" si="5"/>
        <v>0</v>
      </c>
      <c r="J126" s="31">
        <f>RDG!I8</f>
        <v>1763524</v>
      </c>
      <c r="K126" s="31">
        <f>RDG!J8</f>
        <v>2096144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002</v>
      </c>
      <c r="H128" s="30">
        <f aca="true" t="shared" si="6" ref="H128:H190">J128/100*F128+2*K128/100*F128</f>
        <v>6036779.899999999</v>
      </c>
      <c r="I128" s="4">
        <f aca="true" t="shared" si="7" ref="I128:I190">ABS(ROUND(J128,0)-J128)+ABS(ROUND(K128,0)-K128)</f>
        <v>0</v>
      </c>
      <c r="J128" s="31">
        <f>RDG!I10</f>
        <v>1211350</v>
      </c>
      <c r="K128" s="31">
        <f>RDG!J10</f>
        <v>1771010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003</v>
      </c>
      <c r="H131" s="30">
        <f t="shared" si="6"/>
        <v>1563174.6</v>
      </c>
      <c r="I131" s="4">
        <f t="shared" si="7"/>
        <v>0</v>
      </c>
      <c r="J131" s="31">
        <f>RDG!I13</f>
        <v>552174</v>
      </c>
      <c r="K131" s="31">
        <f>RDG!J13</f>
        <v>325134</v>
      </c>
    </row>
    <row r="132" spans="4:11" ht="12.75">
      <c r="D132" s="4" t="s">
        <v>541</v>
      </c>
      <c r="E132" s="4">
        <v>2</v>
      </c>
      <c r="F132" s="4">
        <f>RDG!G14</f>
        <v>131</v>
      </c>
      <c r="G132" s="4" t="str">
        <f>IF(RDG!H14=0,"",RDG!H14)</f>
        <v>005</v>
      </c>
      <c r="H132" s="30">
        <f t="shared" si="6"/>
        <v>7342223.81</v>
      </c>
      <c r="I132" s="4">
        <f t="shared" si="7"/>
        <v>0</v>
      </c>
      <c r="J132" s="31">
        <f>RDG!I14</f>
        <v>1625459</v>
      </c>
      <c r="K132" s="31">
        <f>RDG!J14</f>
        <v>1989646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1942196.3399999999</v>
      </c>
      <c r="I134" s="4">
        <f t="shared" si="7"/>
        <v>0</v>
      </c>
      <c r="J134" s="31">
        <f>RDG!I16</f>
        <v>393414</v>
      </c>
      <c r="K134" s="31">
        <f>RDG!J16</f>
        <v>533442</v>
      </c>
    </row>
    <row r="135" spans="4:11" ht="12.75">
      <c r="D135" s="4" t="s">
        <v>541</v>
      </c>
      <c r="E135" s="4">
        <v>2</v>
      </c>
      <c r="F135" s="4">
        <f>RDG!G17</f>
        <v>134</v>
      </c>
      <c r="G135" s="4" t="str">
        <f>IF(RDG!H17=0,"",RDG!H17)</f>
        <v>006</v>
      </c>
      <c r="H135" s="30">
        <f t="shared" si="6"/>
        <v>378457.54000000004</v>
      </c>
      <c r="I135" s="4">
        <f t="shared" si="7"/>
        <v>0</v>
      </c>
      <c r="J135" s="31">
        <f>RDG!I17</f>
        <v>81237</v>
      </c>
      <c r="K135" s="31">
        <f>RDG!J17</f>
        <v>100597</v>
      </c>
    </row>
    <row r="136" spans="4:11" ht="12.75">
      <c r="D136" s="4" t="s">
        <v>541</v>
      </c>
      <c r="E136" s="4">
        <v>2</v>
      </c>
      <c r="F136" s="4">
        <f>RDG!G18</f>
        <v>135</v>
      </c>
      <c r="G136" s="4" t="str">
        <f>IF(RDG!H18=0,"",RDG!H18)</f>
        <v>007</v>
      </c>
      <c r="H136" s="30">
        <f t="shared" si="6"/>
        <v>81036.45</v>
      </c>
      <c r="I136" s="4">
        <f t="shared" si="7"/>
        <v>0</v>
      </c>
      <c r="J136" s="31">
        <f>RDG!I18</f>
        <v>10263</v>
      </c>
      <c r="K136" s="31">
        <f>RDG!J18</f>
        <v>24882</v>
      </c>
    </row>
    <row r="137" spans="4:11" ht="12.75">
      <c r="D137" s="4" t="s">
        <v>541</v>
      </c>
      <c r="E137" s="4">
        <v>2</v>
      </c>
      <c r="F137" s="4">
        <f>RDG!G19</f>
        <v>136</v>
      </c>
      <c r="G137" s="4" t="str">
        <f>IF(RDG!H19=0,"",RDG!H19)</f>
        <v>008</v>
      </c>
      <c r="H137" s="30">
        <f t="shared" si="6"/>
        <v>1520262.4000000001</v>
      </c>
      <c r="I137" s="4">
        <f t="shared" si="7"/>
        <v>0</v>
      </c>
      <c r="J137" s="31">
        <f>RDG!I19</f>
        <v>301914</v>
      </c>
      <c r="K137" s="31">
        <f>RDG!J19</f>
        <v>407963</v>
      </c>
    </row>
    <row r="138" spans="4:11" ht="12.75">
      <c r="D138" s="4" t="s">
        <v>541</v>
      </c>
      <c r="E138" s="4">
        <v>2</v>
      </c>
      <c r="F138" s="4">
        <f>RDG!G20</f>
        <v>137</v>
      </c>
      <c r="G138" s="4" t="str">
        <f>IF(RDG!H20=0,"",RDG!H20)</f>
        <v>010</v>
      </c>
      <c r="H138" s="30">
        <f t="shared" si="6"/>
        <v>4125502.92</v>
      </c>
      <c r="I138" s="4">
        <f t="shared" si="7"/>
        <v>0</v>
      </c>
      <c r="J138" s="31">
        <f>RDG!I20</f>
        <v>900366</v>
      </c>
      <c r="K138" s="31">
        <f>RDG!J20</f>
        <v>1055475</v>
      </c>
    </row>
    <row r="139" spans="4:11" ht="12.75">
      <c r="D139" s="4" t="s">
        <v>541</v>
      </c>
      <c r="E139" s="4">
        <v>2</v>
      </c>
      <c r="F139" s="4">
        <f>RDG!G21</f>
        <v>138</v>
      </c>
      <c r="G139" s="4">
        <f>IF(RDG!H21=0,"",RDG!H21)</f>
      </c>
      <c r="H139" s="30">
        <f t="shared" si="6"/>
        <v>2814017.34</v>
      </c>
      <c r="I139" s="4">
        <f t="shared" si="7"/>
        <v>0</v>
      </c>
      <c r="J139" s="31">
        <f>RDG!I21</f>
        <v>609541</v>
      </c>
      <c r="K139" s="31">
        <f>RDG!J21</f>
        <v>714801</v>
      </c>
    </row>
    <row r="140" spans="4:11" ht="12.75">
      <c r="D140" s="4" t="s">
        <v>541</v>
      </c>
      <c r="E140" s="4">
        <v>2</v>
      </c>
      <c r="F140" s="4">
        <f>RDG!G22</f>
        <v>139</v>
      </c>
      <c r="G140" s="4">
        <f>IF(RDG!H22=0,"",RDG!H22)</f>
      </c>
      <c r="H140" s="30">
        <f t="shared" si="6"/>
        <v>774647</v>
      </c>
      <c r="I140" s="4">
        <f t="shared" si="7"/>
        <v>0</v>
      </c>
      <c r="J140" s="31">
        <f>RDG!I22</f>
        <v>167802</v>
      </c>
      <c r="K140" s="31">
        <f>RDG!J22</f>
        <v>194749</v>
      </c>
    </row>
    <row r="141" spans="4:11" ht="12.75">
      <c r="D141" s="4" t="s">
        <v>541</v>
      </c>
      <c r="E141" s="4">
        <v>2</v>
      </c>
      <c r="F141" s="4">
        <f>RDG!G23</f>
        <v>140</v>
      </c>
      <c r="G141" s="4">
        <f>IF(RDG!H23=0,"",RDG!H23)</f>
      </c>
      <c r="H141" s="30">
        <f t="shared" si="6"/>
        <v>580822.2</v>
      </c>
      <c r="I141" s="4">
        <f t="shared" si="7"/>
        <v>0</v>
      </c>
      <c r="J141" s="31">
        <f>RDG!I23</f>
        <v>123023</v>
      </c>
      <c r="K141" s="31">
        <f>RDG!J23</f>
        <v>145925</v>
      </c>
    </row>
    <row r="142" spans="4:11" ht="12.75">
      <c r="D142" s="4" t="s">
        <v>541</v>
      </c>
      <c r="E142" s="4">
        <v>2</v>
      </c>
      <c r="F142" s="4">
        <f>RDG!G24</f>
        <v>141</v>
      </c>
      <c r="G142" s="4" t="str">
        <f>IF(RDG!H24=0,"",RDG!H24)</f>
        <v>009</v>
      </c>
      <c r="H142" s="30">
        <f t="shared" si="6"/>
        <v>1325978.0999999999</v>
      </c>
      <c r="I142" s="4">
        <f t="shared" si="7"/>
        <v>0</v>
      </c>
      <c r="J142" s="31">
        <f>RDG!I24</f>
        <v>264766</v>
      </c>
      <c r="K142" s="31">
        <f>RDG!J24</f>
        <v>337822</v>
      </c>
    </row>
    <row r="143" spans="4:11" ht="12.75">
      <c r="D143" s="4" t="s">
        <v>541</v>
      </c>
      <c r="E143" s="4">
        <v>2</v>
      </c>
      <c r="F143" s="4">
        <f>RDG!G25</f>
        <v>142</v>
      </c>
      <c r="G143" s="4" t="str">
        <f>IF(RDG!H25=0,"",RDG!H25)</f>
        <v>011</v>
      </c>
      <c r="H143" s="30">
        <f t="shared" si="6"/>
        <v>273672.34</v>
      </c>
      <c r="I143" s="4">
        <f t="shared" si="7"/>
        <v>0</v>
      </c>
      <c r="J143" s="31">
        <f>RDG!I25</f>
        <v>66913</v>
      </c>
      <c r="K143" s="31">
        <f>RDG!J25</f>
        <v>62907</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t="str">
        <f>IF(RDG!H48=0,"",RDG!H48)</f>
        <v>012</v>
      </c>
      <c r="H166" s="30">
        <f t="shared" si="6"/>
        <v>142099.65</v>
      </c>
      <c r="I166" s="4">
        <f t="shared" si="7"/>
        <v>0</v>
      </c>
      <c r="J166" s="31">
        <f>RDG!I48</f>
        <v>28017</v>
      </c>
      <c r="K166" s="31">
        <f>RDG!J48</f>
        <v>29052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148128.12</v>
      </c>
      <c r="I173" s="4">
        <f t="shared" si="7"/>
        <v>0</v>
      </c>
      <c r="J173" s="31">
        <f>RDG!I55</f>
        <v>28017</v>
      </c>
      <c r="K173" s="31">
        <f>RDG!J55</f>
        <v>29052</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001</v>
      </c>
      <c r="H178" s="30">
        <f t="shared" si="6"/>
        <v>10541787.24</v>
      </c>
      <c r="I178" s="4">
        <f t="shared" si="7"/>
        <v>0</v>
      </c>
      <c r="J178" s="31">
        <f>RDG!I60</f>
        <v>1763524</v>
      </c>
      <c r="K178" s="31">
        <f>RDG!J60</f>
        <v>2096144</v>
      </c>
    </row>
    <row r="179" spans="4:11" ht="12.75">
      <c r="D179" s="4" t="s">
        <v>541</v>
      </c>
      <c r="E179" s="4">
        <v>2</v>
      </c>
      <c r="F179" s="4">
        <f>RDG!G61</f>
        <v>178</v>
      </c>
      <c r="G179" s="4" t="str">
        <f>IF(RDG!H61=0,"",RDG!H61)</f>
        <v>004</v>
      </c>
      <c r="H179" s="30">
        <f t="shared" si="6"/>
        <v>10129752.16</v>
      </c>
      <c r="I179" s="4">
        <f t="shared" si="7"/>
        <v>0</v>
      </c>
      <c r="J179" s="31">
        <f>RDG!I61</f>
        <v>1653476</v>
      </c>
      <c r="K179" s="31">
        <f>RDG!J61</f>
        <v>2018698</v>
      </c>
    </row>
    <row r="180" spans="4:11" ht="12.75">
      <c r="D180" s="4" t="s">
        <v>541</v>
      </c>
      <c r="E180" s="4">
        <v>2</v>
      </c>
      <c r="F180" s="4">
        <f>RDG!G62</f>
        <v>179</v>
      </c>
      <c r="G180" s="4">
        <f>IF(RDG!H62=0,"",RDG!H62)</f>
      </c>
      <c r="H180" s="30">
        <f t="shared" si="6"/>
        <v>474242.6</v>
      </c>
      <c r="I180" s="4">
        <f t="shared" si="7"/>
        <v>0</v>
      </c>
      <c r="J180" s="31">
        <f>RDG!I62</f>
        <v>110048</v>
      </c>
      <c r="K180" s="31">
        <f>RDG!J62</f>
        <v>77446</v>
      </c>
    </row>
    <row r="181" spans="4:11" ht="12.75">
      <c r="D181" s="4" t="s">
        <v>541</v>
      </c>
      <c r="E181" s="4">
        <v>2</v>
      </c>
      <c r="F181" s="4">
        <f>RDG!G63</f>
        <v>180</v>
      </c>
      <c r="G181" s="4">
        <f>IF(RDG!H63=0,"",RDG!H63)</f>
      </c>
      <c r="H181" s="30">
        <f t="shared" si="6"/>
        <v>476892</v>
      </c>
      <c r="I181" s="4">
        <f t="shared" si="7"/>
        <v>0</v>
      </c>
      <c r="J181" s="31">
        <f>RDG!I63</f>
        <v>110048</v>
      </c>
      <c r="K181" s="31">
        <f>RDG!J63</f>
        <v>77446</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37830.520000000004</v>
      </c>
      <c r="I183" s="4">
        <f t="shared" si="7"/>
        <v>0</v>
      </c>
      <c r="J183" s="31">
        <f>RDG!I65</f>
        <v>0</v>
      </c>
      <c r="K183" s="31">
        <f>RDG!J65</f>
        <v>10393</v>
      </c>
    </row>
    <row r="184" spans="4:11" ht="12.75">
      <c r="D184" s="4" t="s">
        <v>541</v>
      </c>
      <c r="E184" s="4">
        <v>2</v>
      </c>
      <c r="F184" s="4">
        <f>RDG!G66</f>
        <v>183</v>
      </c>
      <c r="G184" s="4">
        <f>IF(RDG!H66=0,"",RDG!H66)</f>
      </c>
      <c r="H184" s="30">
        <f t="shared" si="6"/>
        <v>446801.81999999995</v>
      </c>
      <c r="I184" s="4">
        <f t="shared" si="7"/>
        <v>0</v>
      </c>
      <c r="J184" s="31">
        <f>RDG!I66</f>
        <v>110048</v>
      </c>
      <c r="K184" s="31">
        <f>RDG!J66</f>
        <v>67053</v>
      </c>
    </row>
    <row r="185" spans="4:11" ht="12.75">
      <c r="D185" s="4" t="s">
        <v>541</v>
      </c>
      <c r="E185" s="4">
        <v>2</v>
      </c>
      <c r="F185" s="4">
        <f>RDG!G67</f>
        <v>184</v>
      </c>
      <c r="G185" s="4">
        <f>IF(RDG!H67=0,"",RDG!H67)</f>
      </c>
      <c r="H185" s="30">
        <f t="shared" si="6"/>
        <v>449243.36</v>
      </c>
      <c r="I185" s="4">
        <f t="shared" si="7"/>
        <v>0</v>
      </c>
      <c r="J185" s="31">
        <f>RDG!I67</f>
        <v>110048</v>
      </c>
      <c r="K185" s="31">
        <f>RDG!J67</f>
        <v>67053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11027818.399999999</v>
      </c>
      <c r="I233" s="4">
        <f t="shared" si="11"/>
        <v>0</v>
      </c>
      <c r="J233" s="31">
        <f>Dodatni!I26</f>
        <v>1211350</v>
      </c>
      <c r="K233" s="31">
        <f>Dodatni!J26</f>
        <v>1771010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347040</v>
      </c>
      <c r="I242" s="4">
        <f t="shared" si="11"/>
        <v>0</v>
      </c>
      <c r="J242" s="31">
        <f>Dodatni!I35</f>
        <v>48000</v>
      </c>
      <c r="K242" s="31">
        <f>Dodatni!J35</f>
        <v>48000</v>
      </c>
    </row>
    <row r="243" spans="4:11" ht="12.75">
      <c r="D243" s="4" t="s">
        <v>1522</v>
      </c>
      <c r="E243" s="4">
        <v>3</v>
      </c>
      <c r="F243" s="4">
        <f>Dodatni!H37</f>
        <v>242</v>
      </c>
      <c r="H243" s="30">
        <f t="shared" si="10"/>
        <v>11503155.399999999</v>
      </c>
      <c r="I243" s="4">
        <f t="shared" si="11"/>
        <v>0</v>
      </c>
      <c r="J243" s="31">
        <f>Dodatni!I37</f>
        <v>1211350</v>
      </c>
      <c r="K243" s="31">
        <f>Dodatni!J37</f>
        <v>1771010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357120</v>
      </c>
      <c r="I249" s="4">
        <f t="shared" si="11"/>
        <v>0</v>
      </c>
      <c r="J249" s="31">
        <f>Dodatni!I45</f>
        <v>48000</v>
      </c>
      <c r="K249" s="31">
        <f>Dodatni!J45</f>
        <v>48000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77729.4</v>
      </c>
      <c r="I253" s="4">
        <f t="shared" si="11"/>
        <v>0</v>
      </c>
      <c r="J253" s="31">
        <f>Dodatni!I50</f>
        <v>12155</v>
      </c>
      <c r="K253" s="31">
        <f>Dodatni!J50</f>
        <v>9345</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127975.72</v>
      </c>
      <c r="I258" s="4">
        <f t="shared" si="11"/>
        <v>0</v>
      </c>
      <c r="J258" s="31">
        <f>Dodatni!I55</f>
        <v>11252</v>
      </c>
      <c r="K258" s="31">
        <f>Dodatni!J55</f>
        <v>19272</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229417.68</v>
      </c>
      <c r="I263" s="4">
        <f t="shared" si="11"/>
        <v>0</v>
      </c>
      <c r="J263" s="31">
        <f>Dodatni!I60</f>
        <v>23960</v>
      </c>
      <c r="K263" s="31">
        <f>Dodatni!J60</f>
        <v>31802</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481697.37</v>
      </c>
      <c r="I268" s="4">
        <f t="shared" si="11"/>
        <v>0</v>
      </c>
      <c r="J268" s="31">
        <f>Dodatni!I65</f>
        <v>57333</v>
      </c>
      <c r="K268" s="31">
        <f>Dodatni!J65</f>
        <v>61539</v>
      </c>
    </row>
    <row r="269" spans="4:11" ht="12.75">
      <c r="D269" s="4" t="s">
        <v>1522</v>
      </c>
      <c r="E269" s="4">
        <v>3</v>
      </c>
      <c r="F269" s="4">
        <f>Dodatni!H66</f>
        <v>268</v>
      </c>
      <c r="H269" s="30">
        <f t="shared" si="10"/>
        <v>32160</v>
      </c>
      <c r="I269" s="4">
        <f t="shared" si="11"/>
        <v>0</v>
      </c>
      <c r="J269" s="31">
        <f>Dodatni!I66</f>
        <v>0</v>
      </c>
      <c r="K269" s="31">
        <f>Dodatni!J66</f>
        <v>6000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66942.59</v>
      </c>
      <c r="I278" s="4">
        <f t="shared" si="13"/>
        <v>0</v>
      </c>
      <c r="J278" s="31">
        <f>Dodatni!I76</f>
        <v>6441</v>
      </c>
      <c r="K278" s="31">
        <f>Dodatni!J76</f>
        <v>8863</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9"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ŠANDROPROM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43227</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30730793911</v>
      </c>
      <c r="V4" s="211" t="s">
        <v>2356</v>
      </c>
      <c r="W4" s="232" t="str">
        <f>RefStr!F31</f>
        <v>ŠANDROVAC</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01615033</v>
      </c>
      <c r="V5" s="211" t="s">
        <v>2357</v>
      </c>
      <c r="W5" s="232" t="str">
        <f>RefStr!C33</f>
        <v>BJELOVARSKA 6</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010048134</v>
      </c>
      <c r="V6" s="211" t="s">
        <v>2568</v>
      </c>
      <c r="W6" s="232" t="str">
        <f>RefStr!L35</f>
        <v>043/874-909</v>
      </c>
      <c r="X6" s="211" t="s">
        <v>2514</v>
      </c>
      <c r="Y6" s="232" t="str">
        <f>RefStr!C68</f>
        <v>SANELA PAUKOVAC</v>
      </c>
      <c r="Z6" s="211" t="s">
        <v>1415</v>
      </c>
      <c r="AA6" s="232">
        <f>RefStr!C46</f>
        <v>0</v>
      </c>
    </row>
    <row r="7" spans="1:27" ht="13.5" customHeight="1">
      <c r="A7" s="498"/>
      <c r="B7" s="499"/>
      <c r="C7" s="499"/>
      <c r="D7" s="499"/>
      <c r="E7" s="499"/>
      <c r="F7" s="499"/>
      <c r="G7" s="499"/>
      <c r="H7" s="499"/>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SANDROPROM@INET.HR</v>
      </c>
      <c r="X7" s="211" t="s">
        <v>2515</v>
      </c>
      <c r="Y7" s="232" t="str">
        <f>RefStr!C70</f>
        <v>043/874-909</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4312</v>
      </c>
      <c r="X8" s="211" t="s">
        <v>2516</v>
      </c>
      <c r="Y8" s="232" t="str">
        <f>TRIM(UPPER(RefStr!C72))</f>
        <v>SANDROPROM@INET.HR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11</v>
      </c>
      <c r="Q9" s="231">
        <f>RefStr!F58</f>
        <v>12</v>
      </c>
      <c r="R9" s="211" t="s">
        <v>1860</v>
      </c>
      <c r="S9" s="232">
        <f>IF(RefStr!F4&lt;&gt;"",RefStr!F4,0)</f>
        <v>44196</v>
      </c>
      <c r="T9" s="211" t="s">
        <v>1821</v>
      </c>
      <c r="U9" s="232">
        <f>RefStr!C39</f>
        <v>564</v>
      </c>
      <c r="V9" s="211" t="s">
        <v>1414</v>
      </c>
      <c r="W9" s="232" t="str">
        <f>RefStr!D42</f>
        <v>Pripremni radovi na gradilištu</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12</v>
      </c>
      <c r="Q10" s="233">
        <f>RefStr!F56</f>
        <v>12</v>
      </c>
      <c r="R10" s="213" t="s">
        <v>1863</v>
      </c>
      <c r="S10" s="233">
        <f>RefStr!C23</f>
        <v>1</v>
      </c>
      <c r="T10" s="213" t="s">
        <v>2573</v>
      </c>
      <c r="U10" s="233" t="str">
        <f>RefStr!D39</f>
        <v>Šandrovac</v>
      </c>
      <c r="V10" s="240"/>
      <c r="W10" s="241"/>
      <c r="X10" s="242" t="s">
        <v>1974</v>
      </c>
      <c r="Y10" s="243">
        <f>RefStr!F12</f>
        <v>2020</v>
      </c>
      <c r="Z10" s="213" t="s">
        <v>209</v>
      </c>
      <c r="AA10" s="233" t="str">
        <f>RefStr!A75</f>
        <v>PAUKOVAC SANELA</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E:\ŠANDROPROM\GODIŠNJA IZVJEŠĆA\2020\[GFI-POD 2020..xls]RDG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8" activePane="bottomLeft" state="frozen"/>
      <selection pane="topLeft" activeCell="A1" sqref="A1"/>
      <selection pane="bottomLeft" activeCell="C50" sqref="C5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161503.3</v>
      </c>
    </row>
    <row r="13" spans="4:17" ht="9.75" customHeight="1">
      <c r="D13" s="156"/>
      <c r="E13" s="162"/>
      <c r="H13" s="27"/>
      <c r="I13" s="163"/>
      <c r="J13" s="163"/>
      <c r="K13" s="156"/>
      <c r="L13" s="156"/>
      <c r="M13" s="156"/>
      <c r="N13" s="156"/>
      <c r="P13" s="54" t="s">
        <v>2353</v>
      </c>
      <c r="Q13" s="55">
        <f>INT(VALUE(M27))/50</f>
        <v>200962.68</v>
      </c>
    </row>
    <row r="14" spans="1:17" ht="15">
      <c r="A14" s="321" t="s">
        <v>2714</v>
      </c>
      <c r="B14" s="321"/>
      <c r="C14" s="321"/>
      <c r="D14" s="164"/>
      <c r="E14" s="165"/>
      <c r="F14" s="319"/>
      <c r="G14" s="320"/>
      <c r="H14" s="320"/>
      <c r="I14" s="156"/>
      <c r="J14" s="327" t="s">
        <v>2100</v>
      </c>
      <c r="K14" s="328"/>
      <c r="L14" s="328"/>
      <c r="M14" s="328"/>
      <c r="N14" s="328"/>
      <c r="P14" s="54" t="s">
        <v>2718</v>
      </c>
      <c r="Q14" s="55">
        <f>INT(VALUE(C27))/100</f>
        <v>307307939.11</v>
      </c>
    </row>
    <row r="15" spans="1:17" ht="19.5" customHeight="1">
      <c r="A15" s="324">
        <f>Skriveni!B59</f>
        <v>473554856.7400001</v>
      </c>
      <c r="B15" s="325"/>
      <c r="C15" s="326"/>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432.27</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9</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564</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4312</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43227</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564</v>
      </c>
      <c r="D39" s="348" t="str">
        <f>IF(C39="","Šifra grada/općine nije upisana",IF(ISNA(LOOKUP(C39,A177:A732,A177:A732)),"Šifra grada/općine ne postoji",IF(LOOKUP(C39,A177:A732,A177:A732)&lt;&gt;C39,"Šifra grada/općine ne postoji",LOOKUP(C39,A177:A732,B177:B732))))</f>
        <v>Šandrovac</v>
      </c>
      <c r="E39" s="349"/>
      <c r="F39" s="349"/>
      <c r="G39" s="349"/>
      <c r="H39" s="272" t="s">
        <v>2222</v>
      </c>
      <c r="I39" s="344"/>
      <c r="J39" s="58">
        <f>IF(C39&gt;0,LOOKUP(C39,A177:A732,C177:C732),"")</f>
        <v>7</v>
      </c>
      <c r="K39" s="351" t="str">
        <f>IF(J39="","Treba prvo upisati šifru grada/općine",LOOKUP(J39,A153:A173,B153:B173))</f>
        <v>BJELOVARSKO-BILOGORSKA</v>
      </c>
      <c r="L39" s="351"/>
      <c r="M39" s="351"/>
      <c r="N39" s="351"/>
      <c r="P39" s="54" t="s">
        <v>1826</v>
      </c>
      <c r="Q39" s="55">
        <f>C56+2*F56+3*C58+4*F58</f>
        <v>117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2023</v>
      </c>
      <c r="D42" s="353" t="str">
        <f>IF(C42="","Šifra NKD-a nije upisana",IF(ISNA(LOOKUP(C42,A736:A1351,A736:A1351)),"Šifra NKD-a ne postoji",IF(LOOKUP(C42,A736:A1351,A736:A1351)&lt;&gt;C42,"Šifra NKD-a ne postoji",LOOKUP(C42,A736:A1351,B736:B1351))))</f>
        <v>Pripremni radovi na gradilištu</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12</v>
      </c>
      <c r="D56" s="270" t="s">
        <v>2898</v>
      </c>
      <c r="E56" s="380"/>
      <c r="F56" s="44">
        <v>12</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11</v>
      </c>
      <c r="D58" s="278" t="s">
        <v>2898</v>
      </c>
      <c r="E58" s="278"/>
      <c r="F58" s="44">
        <v>12</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H132" sqref="H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4" t="s">
        <v>138</v>
      </c>
      <c r="B2" s="395"/>
      <c r="C2" s="395"/>
      <c r="D2" s="395"/>
      <c r="E2" s="395"/>
      <c r="F2" s="395"/>
      <c r="G2" s="395"/>
      <c r="H2" s="395"/>
      <c r="I2" s="396"/>
      <c r="J2" s="392" t="s">
        <v>2590</v>
      </c>
      <c r="Q2" s="74">
        <f>IF(OR(MIN(I9:I133)&lt;0,MAX(I9:I133)&gt;0),1,0)</f>
        <v>1</v>
      </c>
      <c r="R2" s="73" t="s">
        <v>2586</v>
      </c>
    </row>
    <row r="3" spans="1:18" ht="19.5" customHeight="1" thickBot="1">
      <c r="A3" s="397" t="str">
        <f>"stanje na dan "&amp;IF(RefStr!F4&lt;&gt;"",TEXT(RefStr!F4,"DD.MM.YYYY."),"__.__.____.")</f>
        <v>stanje na dan 31.12.2020.</v>
      </c>
      <c r="B3" s="398"/>
      <c r="C3" s="398"/>
      <c r="D3" s="398"/>
      <c r="E3" s="398"/>
      <c r="F3" s="398"/>
      <c r="G3" s="398"/>
      <c r="H3" s="398"/>
      <c r="I3" s="399"/>
      <c r="J3" s="393"/>
      <c r="Q3" s="74">
        <f>IF(OR(MIN(J9:J133)&lt;0,MAX(J9:J133)&gt;0),1,0)</f>
        <v>1</v>
      </c>
      <c r="R3" s="73" t="s">
        <v>2587</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30730793911; ŠANDROPROM d.o.o.</v>
      </c>
      <c r="B5" s="401"/>
      <c r="C5" s="401"/>
      <c r="D5" s="401"/>
      <c r="E5" s="401"/>
      <c r="F5" s="401"/>
      <c r="G5" s="401"/>
      <c r="H5" s="401"/>
      <c r="I5" s="401"/>
      <c r="J5" s="402"/>
      <c r="Q5" s="2">
        <f>IF(I96&lt;&gt;0,1,0)</f>
        <v>0</v>
      </c>
      <c r="R5" s="73" t="s">
        <v>2588</v>
      </c>
    </row>
    <row r="6" spans="1:18" ht="24.75" customHeight="1" thickBot="1">
      <c r="A6" s="387" t="s">
        <v>719</v>
      </c>
      <c r="B6" s="388"/>
      <c r="C6" s="388"/>
      <c r="D6" s="388"/>
      <c r="E6" s="388"/>
      <c r="F6" s="388"/>
      <c r="G6" s="102" t="s">
        <v>799</v>
      </c>
      <c r="H6" s="102" t="s">
        <v>1968</v>
      </c>
      <c r="I6" s="102" t="s">
        <v>2292</v>
      </c>
      <c r="J6" s="103" t="s">
        <v>2293</v>
      </c>
      <c r="Q6" s="2">
        <f>IF(J96&lt;&gt;0,1,0)</f>
        <v>0</v>
      </c>
      <c r="R6" s="73" t="s">
        <v>2589</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7677859</v>
      </c>
      <c r="J10" s="70">
        <f>J11+J18+J28+J39+J44</f>
        <v>7318978</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7677859</v>
      </c>
      <c r="J18" s="70">
        <f>SUM(J19:J27)</f>
        <v>7318978</v>
      </c>
    </row>
    <row r="19" spans="1:10" ht="13.5" customHeight="1">
      <c r="A19" s="383" t="s">
        <v>2176</v>
      </c>
      <c r="B19" s="383"/>
      <c r="C19" s="383"/>
      <c r="D19" s="383"/>
      <c r="E19" s="383"/>
      <c r="F19" s="383"/>
      <c r="G19" s="19">
        <v>11</v>
      </c>
      <c r="H19" s="20" t="s">
        <v>2964</v>
      </c>
      <c r="I19" s="71">
        <v>13054</v>
      </c>
      <c r="J19" s="71">
        <v>13054</v>
      </c>
    </row>
    <row r="20" spans="1:10" ht="13.5" customHeight="1">
      <c r="A20" s="383" t="s">
        <v>543</v>
      </c>
      <c r="B20" s="383"/>
      <c r="C20" s="383"/>
      <c r="D20" s="383"/>
      <c r="E20" s="383"/>
      <c r="F20" s="383"/>
      <c r="G20" s="19">
        <v>12</v>
      </c>
      <c r="H20" s="20" t="s">
        <v>2965</v>
      </c>
      <c r="I20" s="71">
        <v>5675131</v>
      </c>
      <c r="J20" s="71">
        <v>5596733</v>
      </c>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t="s">
        <v>2966</v>
      </c>
      <c r="I22" s="71">
        <v>1914674</v>
      </c>
      <c r="J22" s="71">
        <v>1709191</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75000</v>
      </c>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t="s">
        <v>2967</v>
      </c>
      <c r="I45" s="70">
        <f>I46+I54+I61+I71</f>
        <v>401380</v>
      </c>
      <c r="J45" s="70">
        <f>J46+J54+J61+J71</f>
        <v>341860</v>
      </c>
    </row>
    <row r="46" spans="1:10" ht="13.5" customHeight="1">
      <c r="A46" s="384" t="s">
        <v>2647</v>
      </c>
      <c r="B46" s="384"/>
      <c r="C46" s="384"/>
      <c r="D46" s="384"/>
      <c r="E46" s="384"/>
      <c r="F46" s="384"/>
      <c r="G46" s="19">
        <v>38</v>
      </c>
      <c r="H46" s="20"/>
      <c r="I46" s="70">
        <f>SUM(I47:I53)</f>
        <v>94135</v>
      </c>
      <c r="J46" s="70">
        <f>SUM(J47:J53)</f>
        <v>79350</v>
      </c>
    </row>
    <row r="47" spans="1:10" ht="13.5" customHeight="1">
      <c r="A47" s="383" t="s">
        <v>970</v>
      </c>
      <c r="B47" s="383"/>
      <c r="C47" s="383"/>
      <c r="D47" s="383"/>
      <c r="E47" s="383"/>
      <c r="F47" s="383"/>
      <c r="G47" s="19">
        <v>39</v>
      </c>
      <c r="H47" s="20" t="s">
        <v>2968</v>
      </c>
      <c r="I47" s="71">
        <v>88730</v>
      </c>
      <c r="J47" s="71">
        <v>76525</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t="s">
        <v>2969</v>
      </c>
      <c r="I50" s="71">
        <v>5405</v>
      </c>
      <c r="J50" s="71">
        <v>2825</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t="s">
        <v>2970</v>
      </c>
      <c r="I54" s="70">
        <f>SUM(I55:I60)</f>
        <v>281029</v>
      </c>
      <c r="J54" s="70">
        <f>SUM(J55:J60)</f>
        <v>228463</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2970</v>
      </c>
      <c r="I57" s="71">
        <v>157346</v>
      </c>
      <c r="J57" s="71">
        <v>225413</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t="s">
        <v>2971</v>
      </c>
      <c r="I59" s="71">
        <v>123683</v>
      </c>
      <c r="J59" s="71">
        <v>3050</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2972</v>
      </c>
      <c r="I71" s="71">
        <v>26216</v>
      </c>
      <c r="J71" s="71">
        <v>34047</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8079239</v>
      </c>
      <c r="J73" s="70">
        <f>J9+J10+J45+J72</f>
        <v>7660838</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495864</v>
      </c>
      <c r="J76" s="70">
        <f>J77+J78+J79+J85+J86+J90+J93+J96</f>
        <v>557687</v>
      </c>
      <c r="L76" s="2" t="s">
        <v>2591</v>
      </c>
    </row>
    <row r="77" spans="1:10" ht="13.5" customHeight="1">
      <c r="A77" s="384" t="s">
        <v>935</v>
      </c>
      <c r="B77" s="384"/>
      <c r="C77" s="384"/>
      <c r="D77" s="384"/>
      <c r="E77" s="384"/>
      <c r="F77" s="384"/>
      <c r="G77" s="19">
        <v>68</v>
      </c>
      <c r="H77" s="20" t="s">
        <v>2973</v>
      </c>
      <c r="I77" s="71">
        <v>392000</v>
      </c>
      <c r="J77" s="71">
        <v>392000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-6184</v>
      </c>
      <c r="J90" s="70">
        <f>J91-J92</f>
        <v>98634</v>
      </c>
      <c r="L90" s="2" t="s">
        <v>2591</v>
      </c>
    </row>
    <row r="91" spans="1:10" ht="13.5" customHeight="1">
      <c r="A91" s="383" t="s">
        <v>1139</v>
      </c>
      <c r="B91" s="383"/>
      <c r="C91" s="383"/>
      <c r="D91" s="383"/>
      <c r="E91" s="383"/>
      <c r="F91" s="383"/>
      <c r="G91" s="19">
        <v>82</v>
      </c>
      <c r="H91" s="20" t="s">
        <v>2974</v>
      </c>
      <c r="I91" s="71"/>
      <c r="J91" s="71">
        <v>98634</v>
      </c>
    </row>
    <row r="92" spans="1:10" ht="13.5" customHeight="1">
      <c r="A92" s="383" t="s">
        <v>1140</v>
      </c>
      <c r="B92" s="383"/>
      <c r="C92" s="383"/>
      <c r="D92" s="383"/>
      <c r="E92" s="383"/>
      <c r="F92" s="383"/>
      <c r="G92" s="19">
        <v>83</v>
      </c>
      <c r="H92" s="20"/>
      <c r="I92" s="71">
        <v>6184</v>
      </c>
      <c r="J92" s="71"/>
    </row>
    <row r="93" spans="1:12" ht="13.5" customHeight="1">
      <c r="A93" s="384" t="s">
        <v>2653</v>
      </c>
      <c r="B93" s="384"/>
      <c r="C93" s="384"/>
      <c r="D93" s="384"/>
      <c r="E93" s="384"/>
      <c r="F93" s="384"/>
      <c r="G93" s="19">
        <v>84</v>
      </c>
      <c r="H93" s="20"/>
      <c r="I93" s="70">
        <f>I94-I95</f>
        <v>110048</v>
      </c>
      <c r="J93" s="70">
        <f>J94-J95</f>
        <v>67053</v>
      </c>
      <c r="L93" s="2" t="s">
        <v>2591</v>
      </c>
    </row>
    <row r="94" spans="1:10" ht="13.5" customHeight="1">
      <c r="A94" s="383" t="s">
        <v>2640</v>
      </c>
      <c r="B94" s="383"/>
      <c r="C94" s="383"/>
      <c r="D94" s="383"/>
      <c r="E94" s="383"/>
      <c r="F94" s="383"/>
      <c r="G94" s="19">
        <v>85</v>
      </c>
      <c r="H94" s="20" t="s">
        <v>2975</v>
      </c>
      <c r="I94" s="71">
        <v>110048</v>
      </c>
      <c r="J94" s="71">
        <v>67053</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t="s">
        <v>2976</v>
      </c>
      <c r="I104" s="70">
        <f>SUM(I105:I115)</f>
        <v>1016935</v>
      </c>
      <c r="J104" s="70">
        <f>SUM(J105:J115)</f>
        <v>723815</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430555</v>
      </c>
      <c r="J110" s="71">
        <v>264815</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v>586380</v>
      </c>
      <c r="J114" s="71">
        <v>459000</v>
      </c>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t="s">
        <v>2977</v>
      </c>
      <c r="I116" s="70">
        <f>SUM(I117:I130)</f>
        <v>295181</v>
      </c>
      <c r="J116" s="70">
        <f>SUM(J117:J130)</f>
        <v>186475</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t="s">
        <v>2978</v>
      </c>
      <c r="I123" s="71">
        <v>21475</v>
      </c>
      <c r="J123" s="71">
        <v>300</v>
      </c>
    </row>
    <row r="124" spans="1:10" ht="13.5" customHeight="1">
      <c r="A124" s="383" t="s">
        <v>358</v>
      </c>
      <c r="B124" s="383"/>
      <c r="C124" s="383"/>
      <c r="D124" s="383"/>
      <c r="E124" s="383"/>
      <c r="F124" s="383"/>
      <c r="G124" s="19">
        <v>115</v>
      </c>
      <c r="H124" s="20" t="s">
        <v>2979</v>
      </c>
      <c r="I124" s="71">
        <v>204042</v>
      </c>
      <c r="J124" s="71">
        <v>27867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2980</v>
      </c>
      <c r="I126" s="71">
        <v>48135</v>
      </c>
      <c r="J126" s="71">
        <v>86035</v>
      </c>
    </row>
    <row r="127" spans="1:10" ht="13.5" customHeight="1">
      <c r="A127" s="383" t="s">
        <v>364</v>
      </c>
      <c r="B127" s="383"/>
      <c r="C127" s="383"/>
      <c r="D127" s="383"/>
      <c r="E127" s="383"/>
      <c r="F127" s="383"/>
      <c r="G127" s="19">
        <v>118</v>
      </c>
      <c r="H127" s="20" t="s">
        <v>2981</v>
      </c>
      <c r="I127" s="71">
        <v>21529</v>
      </c>
      <c r="J127" s="71">
        <v>72273</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t="s">
        <v>2982</v>
      </c>
      <c r="I131" s="71">
        <v>6271259</v>
      </c>
      <c r="J131" s="71">
        <v>6192861</v>
      </c>
    </row>
    <row r="132" spans="1:10" ht="13.5" customHeight="1">
      <c r="A132" s="381" t="s">
        <v>2657</v>
      </c>
      <c r="B132" s="381"/>
      <c r="C132" s="381"/>
      <c r="D132" s="381"/>
      <c r="E132" s="381"/>
      <c r="F132" s="381"/>
      <c r="G132" s="19">
        <v>123</v>
      </c>
      <c r="H132" s="20"/>
      <c r="I132" s="70">
        <f>I76+I97+I104+I116+I131</f>
        <v>8079239</v>
      </c>
      <c r="J132" s="70">
        <f>J76+J97+J104+J116+J131</f>
        <v>7660838</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41" activePane="bottomLeft" state="frozen"/>
      <selection pane="topLeft" activeCell="A1" sqref="A1"/>
      <selection pane="bottomLeft" activeCell="H62" sqref="H6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4" t="s">
        <v>139</v>
      </c>
      <c r="B2" s="412"/>
      <c r="C2" s="412"/>
      <c r="D2" s="412"/>
      <c r="E2" s="412"/>
      <c r="F2" s="412"/>
      <c r="G2" s="412"/>
      <c r="H2" s="412"/>
      <c r="I2" s="413"/>
      <c r="J2" s="392" t="s">
        <v>2592</v>
      </c>
      <c r="Q2" s="74">
        <f>IF(OR(MIN(I8:I105)&lt;0,MAX(I8:I105)&gt;0),1,0)</f>
        <v>1</v>
      </c>
      <c r="R2" s="73" t="s">
        <v>2586</v>
      </c>
    </row>
    <row r="3" spans="1:18" s="2" customFormat="1" ht="19.5" customHeight="1" thickBot="1">
      <c r="A3" s="397" t="str">
        <f>"za razdoblje "&amp;IF(RefStr!C4&lt;&gt;"",TEXT(RefStr!C4,"DD.MM.YYYY."),"__.__.____.")&amp;" do "&amp;IF(RefStr!F4&lt;&gt;"",TEXT(RefStr!F4,"DD.MM.YYYY."),"__.__.____.")</f>
        <v>za razdoblje 01.01.2020. do 31.12.2020.</v>
      </c>
      <c r="B3" s="414"/>
      <c r="C3" s="414"/>
      <c r="D3" s="414"/>
      <c r="E3" s="414"/>
      <c r="F3" s="414"/>
      <c r="G3" s="414"/>
      <c r="H3" s="414"/>
      <c r="I3" s="415"/>
      <c r="J3" s="393"/>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30730793911; ŠANDROPROM d.o.o.</v>
      </c>
      <c r="B5" s="410"/>
      <c r="C5" s="410"/>
      <c r="D5" s="410"/>
      <c r="E5" s="410"/>
      <c r="F5" s="410"/>
      <c r="G5" s="410"/>
      <c r="H5" s="410"/>
      <c r="I5" s="410"/>
      <c r="J5" s="411"/>
      <c r="Q5" s="2">
        <f>IF(OR(MIN(I85:I87,I103:I105)&lt;0,MAX(I85:I87,I103:I105)&gt;0),1,0)</f>
        <v>0</v>
      </c>
      <c r="R5" s="73" t="s">
        <v>2588</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2589</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1763524</v>
      </c>
      <c r="J8" s="84">
        <f>SUM(J9:J13)</f>
        <v>2096144</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2983</v>
      </c>
      <c r="I10" s="71">
        <v>1211350</v>
      </c>
      <c r="J10" s="71">
        <v>1771010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2984</v>
      </c>
      <c r="I13" s="71">
        <v>552174</v>
      </c>
      <c r="J13" s="71">
        <v>325134</v>
      </c>
    </row>
    <row r="14" spans="1:10" s="2" customFormat="1" ht="13.5" customHeight="1">
      <c r="A14" s="381" t="s">
        <v>1837</v>
      </c>
      <c r="B14" s="381"/>
      <c r="C14" s="381"/>
      <c r="D14" s="381"/>
      <c r="E14" s="381"/>
      <c r="F14" s="381"/>
      <c r="G14" s="19">
        <v>131</v>
      </c>
      <c r="H14" s="20" t="s">
        <v>2985</v>
      </c>
      <c r="I14" s="70">
        <f>I15+I16+I20+I24+I25+I26+I29+I36</f>
        <v>1625459</v>
      </c>
      <c r="J14" s="70">
        <f>J15+J16+J20+J24+J25+J26+J29+J36</f>
        <v>1989646</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393414</v>
      </c>
      <c r="J16" s="70">
        <f>SUM(J17:J19)</f>
        <v>533442</v>
      </c>
    </row>
    <row r="17" spans="1:10" s="2" customFormat="1" ht="13.5" customHeight="1">
      <c r="A17" s="418" t="s">
        <v>504</v>
      </c>
      <c r="B17" s="418"/>
      <c r="C17" s="418"/>
      <c r="D17" s="418"/>
      <c r="E17" s="418"/>
      <c r="F17" s="418"/>
      <c r="G17" s="19">
        <v>134</v>
      </c>
      <c r="H17" s="20" t="s">
        <v>2986</v>
      </c>
      <c r="I17" s="71">
        <v>81237</v>
      </c>
      <c r="J17" s="71">
        <v>100597</v>
      </c>
    </row>
    <row r="18" spans="1:10" s="2" customFormat="1" ht="13.5" customHeight="1">
      <c r="A18" s="418" t="s">
        <v>505</v>
      </c>
      <c r="B18" s="418"/>
      <c r="C18" s="418"/>
      <c r="D18" s="418"/>
      <c r="E18" s="418"/>
      <c r="F18" s="418"/>
      <c r="G18" s="19">
        <v>135</v>
      </c>
      <c r="H18" s="20" t="s">
        <v>2987</v>
      </c>
      <c r="I18" s="71">
        <v>10263</v>
      </c>
      <c r="J18" s="71">
        <v>24882</v>
      </c>
    </row>
    <row r="19" spans="1:10" s="2" customFormat="1" ht="13.5" customHeight="1">
      <c r="A19" s="418" t="s">
        <v>1426</v>
      </c>
      <c r="B19" s="418"/>
      <c r="C19" s="418"/>
      <c r="D19" s="418"/>
      <c r="E19" s="418"/>
      <c r="F19" s="418"/>
      <c r="G19" s="19">
        <v>136</v>
      </c>
      <c r="H19" s="20" t="s">
        <v>2988</v>
      </c>
      <c r="I19" s="71">
        <v>301914</v>
      </c>
      <c r="J19" s="71">
        <v>407963</v>
      </c>
    </row>
    <row r="20" spans="1:10" s="2" customFormat="1" ht="13.5" customHeight="1">
      <c r="A20" s="383" t="s">
        <v>1839</v>
      </c>
      <c r="B20" s="383"/>
      <c r="C20" s="383"/>
      <c r="D20" s="383"/>
      <c r="E20" s="383"/>
      <c r="F20" s="383"/>
      <c r="G20" s="19">
        <v>137</v>
      </c>
      <c r="H20" s="20" t="s">
        <v>2989</v>
      </c>
      <c r="I20" s="70">
        <f>SUM(I21:I23)</f>
        <v>900366</v>
      </c>
      <c r="J20" s="70">
        <f>SUM(J21:J23)</f>
        <v>1055475</v>
      </c>
    </row>
    <row r="21" spans="1:10" s="2" customFormat="1" ht="13.5" customHeight="1">
      <c r="A21" s="418" t="s">
        <v>724</v>
      </c>
      <c r="B21" s="418"/>
      <c r="C21" s="418"/>
      <c r="D21" s="418"/>
      <c r="E21" s="418"/>
      <c r="F21" s="418"/>
      <c r="G21" s="19">
        <v>138</v>
      </c>
      <c r="H21" s="20"/>
      <c r="I21" s="71">
        <v>609541</v>
      </c>
      <c r="J21" s="71">
        <v>714801</v>
      </c>
    </row>
    <row r="22" spans="1:10" s="2" customFormat="1" ht="13.5" customHeight="1">
      <c r="A22" s="418" t="s">
        <v>961</v>
      </c>
      <c r="B22" s="418"/>
      <c r="C22" s="418"/>
      <c r="D22" s="418"/>
      <c r="E22" s="418"/>
      <c r="F22" s="418"/>
      <c r="G22" s="19">
        <v>139</v>
      </c>
      <c r="H22" s="20"/>
      <c r="I22" s="71">
        <v>167802</v>
      </c>
      <c r="J22" s="71">
        <v>194749</v>
      </c>
    </row>
    <row r="23" spans="1:10" s="2" customFormat="1" ht="13.5" customHeight="1">
      <c r="A23" s="418" t="s">
        <v>962</v>
      </c>
      <c r="B23" s="418"/>
      <c r="C23" s="418"/>
      <c r="D23" s="418"/>
      <c r="E23" s="418"/>
      <c r="F23" s="418"/>
      <c r="G23" s="19">
        <v>140</v>
      </c>
      <c r="H23" s="20"/>
      <c r="I23" s="71">
        <v>123023</v>
      </c>
      <c r="J23" s="71">
        <v>145925</v>
      </c>
    </row>
    <row r="24" spans="1:10" s="2" customFormat="1" ht="13.5" customHeight="1">
      <c r="A24" s="383" t="s">
        <v>259</v>
      </c>
      <c r="B24" s="383"/>
      <c r="C24" s="383"/>
      <c r="D24" s="383"/>
      <c r="E24" s="383"/>
      <c r="F24" s="383"/>
      <c r="G24" s="19">
        <v>141</v>
      </c>
      <c r="H24" s="20" t="s">
        <v>2990</v>
      </c>
      <c r="I24" s="71">
        <v>264766</v>
      </c>
      <c r="J24" s="71">
        <v>337822</v>
      </c>
    </row>
    <row r="25" spans="1:10" s="2" customFormat="1" ht="13.5" customHeight="1">
      <c r="A25" s="383" t="s">
        <v>260</v>
      </c>
      <c r="B25" s="383"/>
      <c r="C25" s="383"/>
      <c r="D25" s="383"/>
      <c r="E25" s="383"/>
      <c r="F25" s="383"/>
      <c r="G25" s="19">
        <v>142</v>
      </c>
      <c r="H25" s="20" t="s">
        <v>2991</v>
      </c>
      <c r="I25" s="71">
        <v>66913</v>
      </c>
      <c r="J25" s="71">
        <v>62907</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t="s">
        <v>2992</v>
      </c>
      <c r="I48" s="70">
        <f>SUM(I49:I55)</f>
        <v>28017</v>
      </c>
      <c r="J48" s="70">
        <f>SUM(J49:J55)</f>
        <v>29052</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28017</v>
      </c>
      <c r="J55" s="71">
        <v>29052</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2993</v>
      </c>
      <c r="I60" s="70">
        <f>I8+I37+I56+I57</f>
        <v>1763524</v>
      </c>
      <c r="J60" s="70">
        <f>J8+J37+J56+J57</f>
        <v>2096144</v>
      </c>
    </row>
    <row r="61" spans="1:10" s="2" customFormat="1" ht="13.5" customHeight="1">
      <c r="A61" s="381" t="s">
        <v>1845</v>
      </c>
      <c r="B61" s="381"/>
      <c r="C61" s="381"/>
      <c r="D61" s="381"/>
      <c r="E61" s="381"/>
      <c r="F61" s="381"/>
      <c r="G61" s="19">
        <v>178</v>
      </c>
      <c r="H61" s="20" t="s">
        <v>2994</v>
      </c>
      <c r="I61" s="70">
        <f>I14+I48+I58+I59</f>
        <v>1653476</v>
      </c>
      <c r="J61" s="70">
        <f>J14+J48+J58+J59</f>
        <v>2018698</v>
      </c>
    </row>
    <row r="62" spans="1:12" s="2" customFormat="1" ht="13.5" customHeight="1">
      <c r="A62" s="381" t="s">
        <v>2581</v>
      </c>
      <c r="B62" s="381"/>
      <c r="C62" s="381"/>
      <c r="D62" s="381"/>
      <c r="E62" s="381"/>
      <c r="F62" s="381"/>
      <c r="G62" s="19">
        <v>179</v>
      </c>
      <c r="H62" s="20"/>
      <c r="I62" s="70">
        <f>I60-I61</f>
        <v>110048</v>
      </c>
      <c r="J62" s="70">
        <f>J60-J61</f>
        <v>77446</v>
      </c>
      <c r="L62" s="2" t="s">
        <v>2591</v>
      </c>
    </row>
    <row r="63" spans="1:10" s="2" customFormat="1" ht="13.5" customHeight="1">
      <c r="A63" s="403" t="s">
        <v>2658</v>
      </c>
      <c r="B63" s="403"/>
      <c r="C63" s="403"/>
      <c r="D63" s="403"/>
      <c r="E63" s="403"/>
      <c r="F63" s="403"/>
      <c r="G63" s="19">
        <v>180</v>
      </c>
      <c r="H63" s="20"/>
      <c r="I63" s="70">
        <f>IF(I60&gt;I61,I60-I61,0)</f>
        <v>110048</v>
      </c>
      <c r="J63" s="70">
        <f>IF(J60&gt;J61,J60-J61,0)</f>
        <v>77446</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v>10393</v>
      </c>
      <c r="L65" s="2" t="s">
        <v>2591</v>
      </c>
    </row>
    <row r="66" spans="1:12" s="2" customFormat="1" ht="13.5" customHeight="1">
      <c r="A66" s="381" t="s">
        <v>2582</v>
      </c>
      <c r="B66" s="381"/>
      <c r="C66" s="381"/>
      <c r="D66" s="381"/>
      <c r="E66" s="381"/>
      <c r="F66" s="381"/>
      <c r="G66" s="19">
        <v>183</v>
      </c>
      <c r="H66" s="20"/>
      <c r="I66" s="70">
        <f>I62-I65</f>
        <v>110048</v>
      </c>
      <c r="J66" s="70">
        <f>J62-J65</f>
        <v>67053</v>
      </c>
      <c r="L66" s="2" t="s">
        <v>2591</v>
      </c>
    </row>
    <row r="67" spans="1:10" s="2" customFormat="1" ht="13.5" customHeight="1">
      <c r="A67" s="403" t="s">
        <v>779</v>
      </c>
      <c r="B67" s="403"/>
      <c r="C67" s="403"/>
      <c r="D67" s="403"/>
      <c r="E67" s="403"/>
      <c r="F67" s="403"/>
      <c r="G67" s="19">
        <v>184</v>
      </c>
      <c r="H67" s="20"/>
      <c r="I67" s="70">
        <f>IF(I66&gt;0,I66,0)</f>
        <v>110048</v>
      </c>
      <c r="J67" s="70">
        <f>IF(J66&gt;0,J66,0)</f>
        <v>67053</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7" activePane="bottomLeft" state="frozen"/>
      <selection pane="topLeft" activeCell="A1" sqref="A1"/>
      <selection pane="bottomLeft" activeCell="J27" sqref="J2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92"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30730793911; ŠANDROPROM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1211350</v>
      </c>
      <c r="J26" s="77">
        <v>1771010</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48000</v>
      </c>
      <c r="J35" s="78">
        <v>48000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1211350</v>
      </c>
      <c r="J37" s="94">
        <v>1771010</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48000</v>
      </c>
      <c r="J45" s="77">
        <v>48000</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12155</v>
      </c>
      <c r="J50" s="77">
        <v>9345</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11252</v>
      </c>
      <c r="J55" s="77">
        <v>19272</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23960</v>
      </c>
      <c r="J60" s="77">
        <v>31802</v>
      </c>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57333</v>
      </c>
      <c r="J65" s="77">
        <v>61539</v>
      </c>
    </row>
    <row r="66" spans="1:10" s="2" customFormat="1" ht="13.5" customHeight="1">
      <c r="A66" s="444" t="s">
        <v>2903</v>
      </c>
      <c r="B66" s="444"/>
      <c r="C66" s="444"/>
      <c r="D66" s="444"/>
      <c r="E66" s="444"/>
      <c r="F66" s="444"/>
      <c r="G66" s="445"/>
      <c r="H66" s="19">
        <v>268</v>
      </c>
      <c r="I66" s="77"/>
      <c r="J66" s="77">
        <v>6000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6441</v>
      </c>
      <c r="J76" s="78">
        <v>8863</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30730793911; ŠANDROPROM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30730793911; ŠANDROPROM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2596</v>
      </c>
      <c r="Q2" s="470"/>
      <c r="R2" s="470"/>
      <c r="S2" s="470"/>
      <c r="T2" s="470"/>
      <c r="U2" s="470"/>
      <c r="V2" s="470"/>
      <c r="W2" s="471"/>
      <c r="X2" s="392"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30730793911; ŠANDROPROM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KORISNIK2</cp:lastModifiedBy>
  <cp:lastPrinted>2017-01-04T10:24:58Z</cp:lastPrinted>
  <dcterms:created xsi:type="dcterms:W3CDTF">2008-10-17T11:51:54Z</dcterms:created>
  <dcterms:modified xsi:type="dcterms:W3CDTF">2021-04-28T10:18:57Z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